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/>
  </bookViews>
  <sheets>
    <sheet name="Costing Template" sheetId="1" r:id="rId1"/>
    <sheet name="Summary" sheetId="2" r:id="rId2"/>
    <sheet name="Estimated amount" sheetId="4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4"/>
  <c r="D14" l="1"/>
  <c r="D4"/>
  <c r="E13" i="1"/>
  <c r="D17" i="4" l="1"/>
  <c r="G10" i="1" l="1"/>
  <c r="K9"/>
  <c r="M9" s="1"/>
  <c r="E8"/>
  <c r="K8" s="1"/>
  <c r="M8" s="1"/>
  <c r="I8" l="1"/>
  <c r="J8"/>
  <c r="D13"/>
  <c r="E16" l="1"/>
  <c r="G13" l="1"/>
  <c r="K7" l="1"/>
  <c r="D5" i="2" l="1"/>
  <c r="E6" i="1"/>
  <c r="M7" s="1"/>
  <c r="I5" i="2" l="1"/>
  <c r="I13" i="1"/>
  <c r="D8" i="2" s="1"/>
  <c r="I8" s="1"/>
  <c r="I17" s="1"/>
  <c r="F13" i="1"/>
  <c r="D6" i="2" s="1"/>
  <c r="I6" s="1"/>
  <c r="I6" i="1"/>
  <c r="J6"/>
  <c r="K6"/>
  <c r="M6" s="1"/>
  <c r="C10" i="2"/>
  <c r="H10" l="1"/>
  <c r="J13" i="1"/>
  <c r="L13" s="1"/>
  <c r="D9" i="2" s="1"/>
  <c r="I9" s="1"/>
  <c r="I15" s="1"/>
  <c r="H13" i="1"/>
  <c r="D7" i="2" s="1"/>
  <c r="D5" i="1"/>
  <c r="D10" s="1"/>
  <c r="I7" i="2" l="1"/>
  <c r="J10"/>
  <c r="M13" i="1"/>
  <c r="D12" i="2"/>
  <c r="K16" i="1"/>
  <c r="I12" i="2" l="1"/>
  <c r="I16"/>
  <c r="I18" s="1"/>
  <c r="M16" i="1"/>
  <c r="E5"/>
  <c r="I5" l="1"/>
  <c r="I10" s="1"/>
  <c r="K5"/>
  <c r="K10" s="1"/>
  <c r="C5" i="2"/>
  <c r="H5" s="1"/>
  <c r="J5" s="1"/>
  <c r="E10"/>
  <c r="C11"/>
  <c r="E5" l="1"/>
  <c r="J5" i="1"/>
  <c r="J10" s="1"/>
  <c r="E11" i="2"/>
  <c r="H11"/>
  <c r="C6"/>
  <c r="E6" l="1"/>
  <c r="H6"/>
  <c r="J11"/>
  <c r="M5" i="1"/>
  <c r="M10" s="1"/>
  <c r="J6" i="2" l="1"/>
  <c r="C8"/>
  <c r="N10" i="1" l="1"/>
  <c r="E8" i="2"/>
  <c r="H8"/>
  <c r="H17" s="1"/>
  <c r="J17" s="1"/>
  <c r="C7"/>
  <c r="C9"/>
  <c r="C12" l="1"/>
  <c r="E9"/>
  <c r="H9"/>
  <c r="E7"/>
  <c r="H7"/>
  <c r="J8"/>
  <c r="J7" l="1"/>
  <c r="H16"/>
  <c r="J16" s="1"/>
  <c r="J9"/>
  <c r="H15"/>
  <c r="H12"/>
  <c r="E12"/>
  <c r="J12" l="1"/>
  <c r="H18"/>
  <c r="J15"/>
  <c r="J18" s="1"/>
</calcChain>
</file>

<file path=xl/sharedStrings.xml><?xml version="1.0" encoding="utf-8"?>
<sst xmlns="http://schemas.openxmlformats.org/spreadsheetml/2006/main" count="122" uniqueCount="69">
  <si>
    <t>Number of People needing treatment</t>
  </si>
  <si>
    <t>Viral Load</t>
  </si>
  <si>
    <t>Consumables</t>
  </si>
  <si>
    <t>Treatment cost</t>
  </si>
  <si>
    <t>Grand Total</t>
  </si>
  <si>
    <t>HBIG</t>
  </si>
  <si>
    <t>Hepatitis B</t>
  </si>
  <si>
    <t>Cost of Confirmatory test @ Rs 6.5</t>
  </si>
  <si>
    <t>Cost of HBV Viral load@ Rs 950</t>
  </si>
  <si>
    <t>Cost of HCV Viral load SVR @ Rs 950</t>
  </si>
  <si>
    <t>Total</t>
  </si>
  <si>
    <t>HBV Diagnostics for New and Old Patients</t>
  </si>
  <si>
    <t>NA</t>
  </si>
  <si>
    <t>Confirmatory test needed for HBsAg</t>
  </si>
  <si>
    <t>Hepatitis C</t>
  </si>
  <si>
    <t>National Viral Hepatitis Control Program</t>
  </si>
  <si>
    <t>Consumable     (RUP @ Rs 6)</t>
  </si>
  <si>
    <t>Cost of Confirmatory test for HCV RNA (@Rs950)</t>
  </si>
  <si>
    <t>Avg Unit cost of Treatment for 1 year in Rs</t>
  </si>
  <si>
    <t>Number of newborns for HBIG needed</t>
  </si>
  <si>
    <t>Unit Cost of  HBIG in Rs</t>
  </si>
  <si>
    <t>Unit Cost of HBsAg (In Rs)</t>
  </si>
  <si>
    <t>Unit cost of HBsAg in Rs</t>
  </si>
  <si>
    <t>Cost of whole blood kit in Rs</t>
  </si>
  <si>
    <t>Cost of HBIG in Rs</t>
  </si>
  <si>
    <t>Cost of Screening for HBsAg in Rs</t>
  </si>
  <si>
    <t>Unit cost for HBV Viral Load (HBV DNA) in Rs</t>
  </si>
  <si>
    <t>Cost of Treatment of HCV for 1 year in Rs</t>
  </si>
  <si>
    <t>Total Cost in Rs</t>
  </si>
  <si>
    <t xml:space="preserve">NA </t>
  </si>
  <si>
    <t>Particulars</t>
  </si>
  <si>
    <t>ANC Screening</t>
  </si>
  <si>
    <t>Confirmatory Test</t>
  </si>
  <si>
    <t>Screening Test</t>
  </si>
  <si>
    <t>Number of people detected with HBsAg (Seropositive)</t>
  </si>
  <si>
    <t>Treatment of Hepatitis B for New and old Detections</t>
  </si>
  <si>
    <t>Cost of Treatment for 1 year in Rs</t>
  </si>
  <si>
    <t>Number of people detected with HCV (Seropositive)</t>
  </si>
  <si>
    <t>Number of People Confirmed with active HCV infection</t>
  </si>
  <si>
    <t>Consumable (RUP@ Rs 6)</t>
  </si>
  <si>
    <t xml:space="preserve">Screening of ANC for Hepatitis B </t>
  </si>
  <si>
    <t>Cost of Hepatitis B Immuno-globulin (HBIG)</t>
  </si>
  <si>
    <t>Patients put on treatment in 2019-20</t>
  </si>
  <si>
    <t>No of people to be screened in 20-21</t>
  </si>
  <si>
    <t>Number of registered pregnant women to be screened in 20-21</t>
  </si>
  <si>
    <t>Total in Lakhs</t>
  </si>
  <si>
    <r>
      <rPr>
        <b/>
        <sz val="12"/>
        <color rgb="FFFF0000"/>
        <rFont val="Calibri"/>
        <family val="2"/>
        <scheme val="minor"/>
      </rPr>
      <t>Drugs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(Treatment cost and HBIG)</t>
    </r>
  </si>
  <si>
    <r>
      <rPr>
        <b/>
        <sz val="12"/>
        <color rgb="FFFF0000"/>
        <rFont val="Calibri"/>
        <family val="2"/>
        <scheme val="minor"/>
      </rPr>
      <t>Kits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(All Screening/ confirmatory tests, Viral Load and ANC Screening tests)</t>
    </r>
  </si>
  <si>
    <t>Total cost of screening for Hepatitis C (@Rs20)</t>
  </si>
  <si>
    <t>Summary of the Budget for FY 2021-22 in Lakhs</t>
  </si>
  <si>
    <t>Summary of the Budget for FY 2021-22 in Rs</t>
  </si>
  <si>
    <t>Template for Physical and Financial Targets/Costing for Diagnosis and Treatment of Hepatitis B and C under NVHCP-FY-2021-22</t>
  </si>
  <si>
    <t>No of people to be screened in 2021-22</t>
  </si>
  <si>
    <t>No of people screened in 2020-21</t>
  </si>
  <si>
    <t>Patients put on treatment in 2020-21</t>
  </si>
  <si>
    <t>No of people screened in 2019-20</t>
  </si>
  <si>
    <t>Estimated Amount for PIP-FY 2021-22</t>
  </si>
  <si>
    <t>S.No.</t>
  </si>
  <si>
    <t>Drugs+HBIG</t>
  </si>
  <si>
    <t>Hep B drugs</t>
  </si>
  <si>
    <t>Hep C drugs</t>
  </si>
  <si>
    <t>Kits</t>
  </si>
  <si>
    <t>Hep B RDTs</t>
  </si>
  <si>
    <t>Hep C RDTs</t>
  </si>
  <si>
    <t>Hep C ELISA Kits</t>
  </si>
  <si>
    <t>Hep A &amp; E RDTs</t>
  </si>
  <si>
    <t>Hep B</t>
  </si>
  <si>
    <t>Hep C</t>
  </si>
  <si>
    <t>As per GoI Calculator (In Lakhs)</t>
  </si>
</sst>
</file>

<file path=xl/styles.xml><?xml version="1.0" encoding="utf-8"?>
<styleSheet xmlns="http://schemas.openxmlformats.org/spreadsheetml/2006/main">
  <numFmts count="1">
    <numFmt numFmtId="164" formatCode="[$-409]dddd\,\ mmmm\ d\,\ yyyy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8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21" xfId="0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0" fillId="0" borderId="22" xfId="0" applyBorder="1" applyAlignment="1">
      <alignment wrapText="1"/>
    </xf>
    <xf numFmtId="0" fontId="1" fillId="0" borderId="34" xfId="0" applyFont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34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0" fillId="0" borderId="0" xfId="0" applyFill="1"/>
    <xf numFmtId="0" fontId="1" fillId="0" borderId="37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13" borderId="42" xfId="0" applyFont="1" applyFill="1" applyBorder="1" applyAlignment="1">
      <alignment horizontal="center" vertical="center"/>
    </xf>
    <xf numFmtId="0" fontId="1" fillId="13" borderId="43" xfId="0" applyFont="1" applyFill="1" applyBorder="1" applyAlignment="1">
      <alignment horizontal="center" vertical="center"/>
    </xf>
    <xf numFmtId="0" fontId="1" fillId="13" borderId="44" xfId="0" applyFont="1" applyFill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3" fillId="13" borderId="36" xfId="0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2" fillId="0" borderId="36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0" fontId="1" fillId="0" borderId="42" xfId="0" applyFont="1" applyBorder="1" applyAlignment="1">
      <alignment horizontal="left"/>
    </xf>
    <xf numFmtId="0" fontId="0" fillId="0" borderId="40" xfId="0" applyBorder="1" applyAlignment="1">
      <alignment horizontal="left"/>
    </xf>
    <xf numFmtId="0" fontId="1" fillId="0" borderId="43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1" fillId="0" borderId="44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2" fillId="0" borderId="3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2" fillId="0" borderId="36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3" fillId="10" borderId="2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22" xfId="0" applyFont="1" applyFill="1" applyBorder="1" applyAlignment="1">
      <alignment horizontal="center" vertical="center" wrapText="1"/>
    </xf>
    <xf numFmtId="0" fontId="3" fillId="11" borderId="27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0" fontId="3" fillId="11" borderId="20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3" fillId="11" borderId="28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6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</cellXfs>
  <cellStyles count="12">
    <cellStyle name="Comma 2" xfId="1"/>
    <cellStyle name="Normal" xfId="0" builtinId="0"/>
    <cellStyle name="Normal 2" xfId="2"/>
    <cellStyle name="Normal 2 3" xfId="3"/>
    <cellStyle name="Normal 3 10" xfId="4"/>
    <cellStyle name="Normal 3 2 3" xfId="5"/>
    <cellStyle name="Normal 3 2 3 2 2" xfId="6"/>
    <cellStyle name="Normal 3 2 5" xfId="7"/>
    <cellStyle name="Normal 3 2 6" xfId="8"/>
    <cellStyle name="Normal 4" xfId="9"/>
    <cellStyle name="Normal 6 2" xfId="10"/>
    <cellStyle name="Normal 7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7"/>
  <sheetViews>
    <sheetView tabSelected="1" topLeftCell="A7" workbookViewId="0">
      <selection activeCell="I13" sqref="I13"/>
    </sheetView>
  </sheetViews>
  <sheetFormatPr defaultColWidth="9.140625" defaultRowHeight="15"/>
  <cols>
    <col min="1" max="1" width="18.42578125" style="1" customWidth="1"/>
    <col min="2" max="2" width="8.28515625" style="1" customWidth="1"/>
    <col min="3" max="3" width="9.140625" style="1" customWidth="1"/>
    <col min="4" max="4" width="10.85546875" style="1" customWidth="1"/>
    <col min="5" max="5" width="14.42578125" style="1" customWidth="1"/>
    <col min="6" max="6" width="11.85546875" style="1" customWidth="1"/>
    <col min="7" max="7" width="12.140625" style="1" customWidth="1"/>
    <col min="8" max="8" width="11.85546875" style="1" customWidth="1"/>
    <col min="9" max="9" width="11.42578125" style="1" customWidth="1"/>
    <col min="10" max="10" width="11.28515625" style="1" customWidth="1"/>
    <col min="11" max="11" width="10.42578125" style="1" customWidth="1"/>
    <col min="12" max="12" width="12.7109375" style="1" customWidth="1"/>
    <col min="13" max="13" width="13.5703125" style="1" customWidth="1"/>
    <col min="14" max="14" width="11.28515625" style="1" customWidth="1"/>
    <col min="15" max="15" width="14.42578125" style="1" customWidth="1"/>
    <col min="16" max="16384" width="9.140625" style="1"/>
  </cols>
  <sheetData>
    <row r="1" spans="1:16" ht="20.100000000000001" customHeight="1">
      <c r="A1" s="124" t="s">
        <v>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6"/>
    </row>
    <row r="2" spans="1:16" ht="24" customHeight="1" thickBot="1">
      <c r="A2" s="121" t="s">
        <v>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3"/>
    </row>
    <row r="3" spans="1:16" ht="36.950000000000003" customHeight="1" thickBot="1">
      <c r="A3" s="134" t="s">
        <v>6</v>
      </c>
      <c r="B3" s="135"/>
      <c r="C3" s="131" t="s">
        <v>11</v>
      </c>
      <c r="D3" s="132"/>
      <c r="E3" s="132"/>
      <c r="F3" s="132"/>
      <c r="G3" s="132"/>
      <c r="H3" s="132"/>
      <c r="I3" s="132"/>
      <c r="J3" s="133"/>
      <c r="K3" s="131" t="s">
        <v>35</v>
      </c>
      <c r="L3" s="132"/>
      <c r="M3" s="133"/>
      <c r="N3" s="114" t="s">
        <v>28</v>
      </c>
    </row>
    <row r="4" spans="1:16" ht="75.75" thickBot="1">
      <c r="A4" s="136"/>
      <c r="B4" s="137"/>
      <c r="C4" s="46" t="s">
        <v>21</v>
      </c>
      <c r="D4" s="47" t="s">
        <v>25</v>
      </c>
      <c r="E4" s="47" t="s">
        <v>34</v>
      </c>
      <c r="F4" s="47" t="s">
        <v>13</v>
      </c>
      <c r="G4" s="47" t="s">
        <v>7</v>
      </c>
      <c r="H4" s="47" t="s">
        <v>26</v>
      </c>
      <c r="I4" s="47" t="s">
        <v>8</v>
      </c>
      <c r="J4" s="47" t="s">
        <v>16</v>
      </c>
      <c r="K4" s="50" t="s">
        <v>0</v>
      </c>
      <c r="L4" s="47" t="s">
        <v>18</v>
      </c>
      <c r="M4" s="51" t="s">
        <v>36</v>
      </c>
      <c r="N4" s="115"/>
    </row>
    <row r="5" spans="1:16" ht="42" customHeight="1">
      <c r="A5" s="10" t="s">
        <v>52</v>
      </c>
      <c r="B5" s="11">
        <v>700000</v>
      </c>
      <c r="C5" s="16">
        <v>6.5</v>
      </c>
      <c r="D5" s="16">
        <f>B5*C5</f>
        <v>4550000</v>
      </c>
      <c r="E5" s="16">
        <f>B5*4%</f>
        <v>28000</v>
      </c>
      <c r="F5" s="16"/>
      <c r="G5" s="16"/>
      <c r="H5" s="16">
        <v>950</v>
      </c>
      <c r="I5" s="16">
        <f>E5*H5</f>
        <v>26600000</v>
      </c>
      <c r="J5" s="16">
        <f>(B5*6)+(E5*6)+(F5*6)</f>
        <v>4368000</v>
      </c>
      <c r="K5" s="27">
        <f>E5*20%</f>
        <v>5600</v>
      </c>
      <c r="L5" s="16">
        <v>2500</v>
      </c>
      <c r="M5" s="17">
        <f>L5*K5</f>
        <v>14000000</v>
      </c>
      <c r="N5" s="115"/>
    </row>
    <row r="6" spans="1:16" ht="42" customHeight="1">
      <c r="A6" s="4" t="s">
        <v>53</v>
      </c>
      <c r="B6" s="3">
        <v>0</v>
      </c>
      <c r="C6" s="18" t="s">
        <v>12</v>
      </c>
      <c r="D6" s="16" t="s">
        <v>12</v>
      </c>
      <c r="E6" s="16">
        <f>B6*4%</f>
        <v>0</v>
      </c>
      <c r="F6" s="19" t="s">
        <v>12</v>
      </c>
      <c r="G6" s="16" t="s">
        <v>12</v>
      </c>
      <c r="H6" s="18">
        <v>950</v>
      </c>
      <c r="I6" s="16">
        <f>H6*E6</f>
        <v>0</v>
      </c>
      <c r="J6" s="16">
        <f>6*E6</f>
        <v>0</v>
      </c>
      <c r="K6" s="28">
        <f>E6*5%</f>
        <v>0</v>
      </c>
      <c r="L6" s="18">
        <v>2500</v>
      </c>
      <c r="M6" s="17">
        <f t="shared" ref="M6:M7" si="0">L6*K6</f>
        <v>0</v>
      </c>
      <c r="N6" s="115"/>
    </row>
    <row r="7" spans="1:16" ht="42" customHeight="1" thickBot="1">
      <c r="A7" s="5" t="s">
        <v>54</v>
      </c>
      <c r="B7" s="6">
        <v>0</v>
      </c>
      <c r="C7" s="19" t="s">
        <v>12</v>
      </c>
      <c r="D7" s="19" t="s">
        <v>12</v>
      </c>
      <c r="E7" s="19" t="s">
        <v>12</v>
      </c>
      <c r="F7" s="19" t="s">
        <v>12</v>
      </c>
      <c r="G7" s="19" t="s">
        <v>12</v>
      </c>
      <c r="H7" s="19" t="s">
        <v>12</v>
      </c>
      <c r="I7" s="19" t="s">
        <v>12</v>
      </c>
      <c r="J7" s="19" t="s">
        <v>12</v>
      </c>
      <c r="K7" s="29">
        <f>B7</f>
        <v>0</v>
      </c>
      <c r="L7" s="19">
        <v>2500</v>
      </c>
      <c r="M7" s="17">
        <f t="shared" si="0"/>
        <v>0</v>
      </c>
      <c r="N7" s="116"/>
    </row>
    <row r="8" spans="1:16" ht="42" customHeight="1" thickBot="1">
      <c r="A8" s="4" t="s">
        <v>55</v>
      </c>
      <c r="B8" s="91">
        <v>0</v>
      </c>
      <c r="C8" s="89" t="s">
        <v>12</v>
      </c>
      <c r="D8" s="89" t="s">
        <v>12</v>
      </c>
      <c r="E8" s="89">
        <f>B8*4%</f>
        <v>0</v>
      </c>
      <c r="F8" s="19" t="s">
        <v>12</v>
      </c>
      <c r="G8" s="89" t="s">
        <v>12</v>
      </c>
      <c r="H8" s="89">
        <v>950</v>
      </c>
      <c r="I8" s="89">
        <f>H8*E8</f>
        <v>0</v>
      </c>
      <c r="J8" s="89">
        <f>6*E8</f>
        <v>0</v>
      </c>
      <c r="K8" s="92">
        <f>E8*5%</f>
        <v>0</v>
      </c>
      <c r="L8" s="89">
        <v>2500</v>
      </c>
      <c r="M8" s="93">
        <f>L8*K8</f>
        <v>0</v>
      </c>
      <c r="N8" s="94"/>
    </row>
    <row r="9" spans="1:16" ht="42" customHeight="1" thickBot="1">
      <c r="A9" s="90" t="s">
        <v>42</v>
      </c>
      <c r="B9" s="91">
        <v>0</v>
      </c>
      <c r="C9" s="89" t="s">
        <v>12</v>
      </c>
      <c r="D9" s="19" t="s">
        <v>12</v>
      </c>
      <c r="E9" s="19" t="s">
        <v>12</v>
      </c>
      <c r="F9" s="19" t="s">
        <v>12</v>
      </c>
      <c r="G9" s="19" t="s">
        <v>12</v>
      </c>
      <c r="H9" s="19" t="s">
        <v>12</v>
      </c>
      <c r="I9" s="19" t="s">
        <v>12</v>
      </c>
      <c r="J9" s="19" t="s">
        <v>12</v>
      </c>
      <c r="K9" s="19">
        <f>B9</f>
        <v>0</v>
      </c>
      <c r="L9" s="89">
        <v>2500</v>
      </c>
      <c r="M9" s="93">
        <f>L9*K9</f>
        <v>0</v>
      </c>
      <c r="N9" s="94"/>
    </row>
    <row r="10" spans="1:16" ht="24.6" customHeight="1" thickBot="1">
      <c r="A10" s="12" t="s">
        <v>10</v>
      </c>
      <c r="B10" s="9"/>
      <c r="C10" s="20"/>
      <c r="D10" s="20">
        <f>SUM(D5:D9)</f>
        <v>4550000</v>
      </c>
      <c r="E10" s="20"/>
      <c r="F10" s="20"/>
      <c r="G10" s="20">
        <f>SUM(G5:G9)</f>
        <v>0</v>
      </c>
      <c r="H10" s="20"/>
      <c r="I10" s="20">
        <f>SUM(I5:I9)</f>
        <v>26600000</v>
      </c>
      <c r="J10" s="20">
        <f>SUM(J5:J9)</f>
        <v>4368000</v>
      </c>
      <c r="K10" s="48">
        <f>K5+K6+K7+K8+K9</f>
        <v>5600</v>
      </c>
      <c r="L10" s="20"/>
      <c r="M10" s="20">
        <f>SUM(M5:M9)</f>
        <v>14000000</v>
      </c>
      <c r="N10" s="49">
        <f>D10+G10+I10+J10+M10</f>
        <v>49518000</v>
      </c>
      <c r="O10" s="44"/>
      <c r="P10" s="44"/>
    </row>
    <row r="11" spans="1:16" ht="15.75" thickBot="1">
      <c r="A11" s="5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53"/>
      <c r="O11" s="45"/>
      <c r="P11" s="44"/>
    </row>
    <row r="12" spans="1:16" ht="75" customHeight="1" thickBot="1">
      <c r="A12" s="117" t="s">
        <v>14</v>
      </c>
      <c r="B12" s="118"/>
      <c r="C12" s="23" t="s">
        <v>43</v>
      </c>
      <c r="D12" s="15" t="s">
        <v>48</v>
      </c>
      <c r="E12" s="15" t="s">
        <v>37</v>
      </c>
      <c r="F12" s="15" t="s">
        <v>17</v>
      </c>
      <c r="G12" s="15" t="s">
        <v>38</v>
      </c>
      <c r="H12" s="15" t="s">
        <v>9</v>
      </c>
      <c r="I12" s="15" t="s">
        <v>39</v>
      </c>
      <c r="J12" s="15" t="s">
        <v>0</v>
      </c>
      <c r="K12" s="15" t="s">
        <v>18</v>
      </c>
      <c r="L12" s="15" t="s">
        <v>27</v>
      </c>
      <c r="M12" s="7" t="s">
        <v>28</v>
      </c>
      <c r="N12" s="22"/>
      <c r="O12" s="25"/>
      <c r="P12" s="25"/>
    </row>
    <row r="13" spans="1:16" ht="39" customHeight="1" thickBot="1">
      <c r="A13" s="119"/>
      <c r="B13" s="120"/>
      <c r="C13" s="59">
        <v>500000</v>
      </c>
      <c r="D13" s="20">
        <f>C13*20</f>
        <v>10000000</v>
      </c>
      <c r="E13" s="20">
        <f>C13*12%</f>
        <v>60000</v>
      </c>
      <c r="F13" s="20">
        <f>E13*950</f>
        <v>57000000</v>
      </c>
      <c r="G13" s="20">
        <f>E13*50%</f>
        <v>30000</v>
      </c>
      <c r="H13" s="20">
        <f>G13*950</f>
        <v>28500000</v>
      </c>
      <c r="I13" s="20">
        <f>(C13+E13+G13)*6</f>
        <v>3540000</v>
      </c>
      <c r="J13" s="13">
        <f>G13</f>
        <v>30000</v>
      </c>
      <c r="K13" s="20">
        <v>5000</v>
      </c>
      <c r="L13" s="20">
        <f>J13*5000</f>
        <v>150000000</v>
      </c>
      <c r="M13" s="26">
        <f>D13+F13+H13+I13+L13</f>
        <v>249040000</v>
      </c>
      <c r="N13" s="26"/>
      <c r="O13" s="24"/>
      <c r="P13" s="24"/>
    </row>
    <row r="14" spans="1:16" s="44" customFormat="1" ht="15.75" thickBot="1">
      <c r="A14" s="5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4"/>
    </row>
    <row r="15" spans="1:16" ht="113.45" customHeight="1" thickBot="1">
      <c r="A15" s="127" t="s">
        <v>40</v>
      </c>
      <c r="B15" s="128"/>
      <c r="C15" s="31" t="s">
        <v>44</v>
      </c>
      <c r="D15" s="32" t="s">
        <v>22</v>
      </c>
      <c r="E15" s="33" t="s">
        <v>23</v>
      </c>
      <c r="I15" s="138" t="s">
        <v>41</v>
      </c>
      <c r="J15" s="139"/>
      <c r="K15" s="60" t="s">
        <v>19</v>
      </c>
      <c r="L15" s="32" t="s">
        <v>20</v>
      </c>
      <c r="M15" s="33" t="s">
        <v>24</v>
      </c>
      <c r="N15" s="55"/>
    </row>
    <row r="16" spans="1:16" ht="29.45" customHeight="1" thickBot="1">
      <c r="A16" s="129"/>
      <c r="B16" s="130"/>
      <c r="C16" s="14">
        <v>500000</v>
      </c>
      <c r="D16" s="8">
        <v>6.5</v>
      </c>
      <c r="E16" s="30">
        <f>C16*6.5</f>
        <v>3250000</v>
      </c>
      <c r="I16" s="140"/>
      <c r="J16" s="141"/>
      <c r="K16" s="61">
        <f>C16*1%</f>
        <v>5000</v>
      </c>
      <c r="L16" s="21">
        <v>2000</v>
      </c>
      <c r="M16" s="22">
        <f>K16*L16</f>
        <v>10000000</v>
      </c>
      <c r="N16" s="55"/>
    </row>
    <row r="17" spans="1:14" ht="15.75" thickBot="1">
      <c r="A17" s="56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8"/>
    </row>
  </sheetData>
  <mergeCells count="9">
    <mergeCell ref="N3:N7"/>
    <mergeCell ref="A12:B13"/>
    <mergeCell ref="A2:N2"/>
    <mergeCell ref="A1:N1"/>
    <mergeCell ref="A15:B16"/>
    <mergeCell ref="K3:M3"/>
    <mergeCell ref="A3:B4"/>
    <mergeCell ref="C3:J3"/>
    <mergeCell ref="I15:J16"/>
  </mergeCells>
  <pageMargins left="0.7" right="0.7" top="0.75" bottom="0.75" header="0.3" footer="0.3"/>
  <pageSetup paperSize="9" scale="70" fitToHeight="0" orientation="landscape" r:id="rId1"/>
  <ignoredErrors>
    <ignoredError sqref="G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J19"/>
  <sheetViews>
    <sheetView workbookViewId="0">
      <selection activeCell="C9" sqref="C9"/>
    </sheetView>
  </sheetViews>
  <sheetFormatPr defaultRowHeight="15"/>
  <cols>
    <col min="2" max="5" width="17.140625" customWidth="1"/>
    <col min="7" max="7" width="21.140625" customWidth="1"/>
    <col min="8" max="10" width="17.42578125" customWidth="1"/>
  </cols>
  <sheetData>
    <row r="1" spans="2:10" ht="15.75" thickBot="1"/>
    <row r="2" spans="2:10" ht="18.600000000000001" customHeight="1">
      <c r="B2" s="142" t="s">
        <v>50</v>
      </c>
      <c r="C2" s="143"/>
      <c r="D2" s="143"/>
      <c r="E2" s="144"/>
      <c r="G2" s="142" t="s">
        <v>49</v>
      </c>
      <c r="H2" s="143"/>
      <c r="I2" s="143"/>
      <c r="J2" s="144"/>
    </row>
    <row r="3" spans="2:10" ht="15" customHeight="1" thickBot="1">
      <c r="B3" s="145"/>
      <c r="C3" s="146"/>
      <c r="D3" s="146"/>
      <c r="E3" s="147"/>
      <c r="G3" s="145"/>
      <c r="H3" s="146"/>
      <c r="I3" s="146"/>
      <c r="J3" s="147"/>
    </row>
    <row r="4" spans="2:10" ht="21.95" customHeight="1" thickBot="1">
      <c r="B4" s="34" t="s">
        <v>30</v>
      </c>
      <c r="C4" s="39" t="s">
        <v>6</v>
      </c>
      <c r="D4" s="40" t="s">
        <v>14</v>
      </c>
      <c r="E4" s="43" t="s">
        <v>10</v>
      </c>
      <c r="G4" s="34" t="s">
        <v>30</v>
      </c>
      <c r="H4" s="39" t="s">
        <v>6</v>
      </c>
      <c r="I4" s="40" t="s">
        <v>14</v>
      </c>
      <c r="J4" s="43" t="s">
        <v>10</v>
      </c>
    </row>
    <row r="5" spans="2:10" ht="21.95" customHeight="1">
      <c r="B5" s="35" t="s">
        <v>33</v>
      </c>
      <c r="C5" s="95">
        <f>'Costing Template'!D10</f>
        <v>4550000</v>
      </c>
      <c r="D5" s="95">
        <f>'Costing Template'!D13</f>
        <v>10000000</v>
      </c>
      <c r="E5" s="96">
        <f>C5+D5</f>
        <v>14550000</v>
      </c>
      <c r="G5" s="35" t="s">
        <v>33</v>
      </c>
      <c r="H5" s="95">
        <f>C5/100000</f>
        <v>45.5</v>
      </c>
      <c r="I5" s="95">
        <f>D5/100000</f>
        <v>100</v>
      </c>
      <c r="J5" s="96">
        <f>H5+I5</f>
        <v>145.5</v>
      </c>
    </row>
    <row r="6" spans="2:10" ht="21.95" customHeight="1">
      <c r="B6" s="36" t="s">
        <v>32</v>
      </c>
      <c r="C6" s="62">
        <f>'Costing Template'!G10</f>
        <v>0</v>
      </c>
      <c r="D6" s="62">
        <f>'Costing Template'!F13</f>
        <v>57000000</v>
      </c>
      <c r="E6" s="63">
        <f t="shared" ref="E6:E9" si="0">C6+D6</f>
        <v>57000000</v>
      </c>
      <c r="G6" s="36" t="s">
        <v>32</v>
      </c>
      <c r="H6" s="62">
        <f t="shared" ref="H6:H11" si="1">C6/100000</f>
        <v>0</v>
      </c>
      <c r="I6" s="62">
        <f t="shared" ref="I6:I9" si="2">D6/100000</f>
        <v>570</v>
      </c>
      <c r="J6" s="63">
        <f t="shared" ref="J6:J9" si="3">H6+I6</f>
        <v>570</v>
      </c>
    </row>
    <row r="7" spans="2:10" ht="21.95" customHeight="1">
      <c r="B7" s="36" t="s">
        <v>1</v>
      </c>
      <c r="C7" s="62">
        <f>'Costing Template'!I10</f>
        <v>26600000</v>
      </c>
      <c r="D7" s="62">
        <f>'Costing Template'!H13</f>
        <v>28500000</v>
      </c>
      <c r="E7" s="63">
        <f t="shared" si="0"/>
        <v>55100000</v>
      </c>
      <c r="G7" s="36" t="s">
        <v>1</v>
      </c>
      <c r="H7" s="62">
        <f t="shared" si="1"/>
        <v>266</v>
      </c>
      <c r="I7" s="62">
        <f t="shared" si="2"/>
        <v>285</v>
      </c>
      <c r="J7" s="63">
        <f t="shared" si="3"/>
        <v>551</v>
      </c>
    </row>
    <row r="8" spans="2:10" ht="21.95" customHeight="1">
      <c r="B8" s="36" t="s">
        <v>2</v>
      </c>
      <c r="C8" s="62">
        <f>'Costing Template'!J10</f>
        <v>4368000</v>
      </c>
      <c r="D8" s="62">
        <f>'Costing Template'!I13</f>
        <v>3540000</v>
      </c>
      <c r="E8" s="63">
        <f t="shared" si="0"/>
        <v>7908000</v>
      </c>
      <c r="G8" s="36" t="s">
        <v>2</v>
      </c>
      <c r="H8" s="62">
        <f t="shared" si="1"/>
        <v>43.68</v>
      </c>
      <c r="I8" s="62">
        <f t="shared" si="2"/>
        <v>35.4</v>
      </c>
      <c r="J8" s="63">
        <f t="shared" si="3"/>
        <v>79.08</v>
      </c>
    </row>
    <row r="9" spans="2:10" ht="21.95" customHeight="1">
      <c r="B9" s="36" t="s">
        <v>3</v>
      </c>
      <c r="C9" s="64">
        <f>'Costing Template'!M10</f>
        <v>14000000</v>
      </c>
      <c r="D9" s="64">
        <f>'Costing Template'!L13</f>
        <v>150000000</v>
      </c>
      <c r="E9" s="65">
        <f t="shared" si="0"/>
        <v>164000000</v>
      </c>
      <c r="G9" s="36" t="s">
        <v>3</v>
      </c>
      <c r="H9" s="64">
        <f t="shared" si="1"/>
        <v>140</v>
      </c>
      <c r="I9" s="64">
        <f t="shared" si="2"/>
        <v>1500</v>
      </c>
      <c r="J9" s="65">
        <f t="shared" si="3"/>
        <v>1640</v>
      </c>
    </row>
    <row r="10" spans="2:10" ht="21.95" customHeight="1">
      <c r="B10" s="37" t="s">
        <v>31</v>
      </c>
      <c r="C10" s="62">
        <f>'Costing Template'!E16</f>
        <v>3250000</v>
      </c>
      <c r="D10" s="41" t="s">
        <v>29</v>
      </c>
      <c r="E10" s="63">
        <f>C10</f>
        <v>3250000</v>
      </c>
      <c r="G10" s="37" t="s">
        <v>31</v>
      </c>
      <c r="H10" s="62">
        <f t="shared" si="1"/>
        <v>32.5</v>
      </c>
      <c r="I10" s="41" t="s">
        <v>29</v>
      </c>
      <c r="J10" s="63">
        <f>H10</f>
        <v>32.5</v>
      </c>
    </row>
    <row r="11" spans="2:10" ht="21.95" customHeight="1">
      <c r="B11" s="38" t="s">
        <v>5</v>
      </c>
      <c r="C11" s="66">
        <f>'Costing Template'!M16</f>
        <v>10000000</v>
      </c>
      <c r="D11" s="42" t="s">
        <v>29</v>
      </c>
      <c r="E11" s="67">
        <f>C11</f>
        <v>10000000</v>
      </c>
      <c r="G11" s="38" t="s">
        <v>5</v>
      </c>
      <c r="H11" s="66">
        <f t="shared" si="1"/>
        <v>100</v>
      </c>
      <c r="I11" s="42" t="s">
        <v>29</v>
      </c>
      <c r="J11" s="67">
        <f>H11</f>
        <v>100</v>
      </c>
    </row>
    <row r="12" spans="2:10" ht="21.95" customHeight="1" thickBot="1">
      <c r="B12" s="68" t="s">
        <v>4</v>
      </c>
      <c r="C12" s="69">
        <f>C5+C6+C7+C8+C9+C10+C11</f>
        <v>62768000</v>
      </c>
      <c r="D12" s="69">
        <f>D5+D6+D7+D8+D9</f>
        <v>249040000</v>
      </c>
      <c r="E12" s="70">
        <f>E5+E6+E7+E8+E9+E10+E11</f>
        <v>311808000</v>
      </c>
      <c r="G12" s="68" t="s">
        <v>4</v>
      </c>
      <c r="H12" s="69">
        <f>H5+H6+H7+H8+H9+H10+H11</f>
        <v>627.68000000000006</v>
      </c>
      <c r="I12" s="69">
        <f>I5+I6+I7+I8+I9</f>
        <v>2490.4</v>
      </c>
      <c r="J12" s="70">
        <f>J5+J6+J7+J8+J9+J10+J11</f>
        <v>3118.08</v>
      </c>
    </row>
    <row r="13" spans="2:10" ht="15.75" thickBot="1"/>
    <row r="14" spans="2:10" ht="26.45" customHeight="1" thickBot="1">
      <c r="G14" s="77" t="s">
        <v>30</v>
      </c>
      <c r="H14" s="73" t="s">
        <v>6</v>
      </c>
      <c r="I14" s="81" t="s">
        <v>14</v>
      </c>
      <c r="J14" s="77" t="s">
        <v>45</v>
      </c>
    </row>
    <row r="15" spans="2:10" ht="29.1" customHeight="1">
      <c r="G15" s="78" t="s">
        <v>46</v>
      </c>
      <c r="H15" s="74">
        <f>H9+H11</f>
        <v>240</v>
      </c>
      <c r="I15" s="82">
        <f>I9</f>
        <v>1500</v>
      </c>
      <c r="J15" s="84">
        <f>H15+I15</f>
        <v>1740</v>
      </c>
    </row>
    <row r="16" spans="2:10" ht="57" customHeight="1">
      <c r="G16" s="79" t="s">
        <v>47</v>
      </c>
      <c r="H16" s="75">
        <f>H5+H6+H7+H10</f>
        <v>344</v>
      </c>
      <c r="I16" s="83">
        <f>I5+I6+I7</f>
        <v>955</v>
      </c>
      <c r="J16" s="85">
        <f>H16+I16</f>
        <v>1299</v>
      </c>
    </row>
    <row r="17" spans="7:10" ht="27.6" customHeight="1" thickBot="1">
      <c r="G17" s="87" t="s">
        <v>2</v>
      </c>
      <c r="H17" s="76">
        <f>H8</f>
        <v>43.68</v>
      </c>
      <c r="I17" s="72">
        <f>I8</f>
        <v>35.4</v>
      </c>
      <c r="J17" s="86">
        <f>H17+I17</f>
        <v>79.08</v>
      </c>
    </row>
    <row r="18" spans="7:10" ht="27.6" customHeight="1" thickBot="1">
      <c r="G18" s="80" t="s">
        <v>10</v>
      </c>
      <c r="H18" s="73">
        <f>H15+H16+H17</f>
        <v>627.67999999999995</v>
      </c>
      <c r="I18" s="81">
        <f>I15+I16+I17</f>
        <v>2490.4</v>
      </c>
      <c r="J18" s="88">
        <f>J15+J16+J17</f>
        <v>3118.08</v>
      </c>
    </row>
    <row r="19" spans="7:10">
      <c r="I19" s="71"/>
      <c r="J19" s="71"/>
    </row>
  </sheetData>
  <mergeCells count="2">
    <mergeCell ref="B2:E3"/>
    <mergeCell ref="G2:J3"/>
  </mergeCells>
  <pageMargins left="0.7" right="0.7" top="0.75" bottom="0.75" header="0.3" footer="0.3"/>
  <pageSetup scale="76" orientation="landscape" r:id="rId1"/>
  <ignoredErrors>
    <ignoredError sqref="D12 I1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D17"/>
  <sheetViews>
    <sheetView workbookViewId="0">
      <selection activeCell="N19" sqref="N19"/>
    </sheetView>
  </sheetViews>
  <sheetFormatPr defaultRowHeight="15"/>
  <cols>
    <col min="2" max="2" width="6" customWidth="1"/>
    <col min="3" max="3" width="18.140625" bestFit="1" customWidth="1"/>
    <col min="4" max="4" width="19.42578125" customWidth="1"/>
  </cols>
  <sheetData>
    <row r="1" spans="2:4" ht="15.75" thickBot="1"/>
    <row r="2" spans="2:4" ht="16.5" thickBot="1">
      <c r="B2" s="148" t="s">
        <v>56</v>
      </c>
      <c r="C2" s="149"/>
      <c r="D2" s="150"/>
    </row>
    <row r="3" spans="2:4" ht="32.25" customHeight="1" thickBot="1">
      <c r="B3" s="97" t="s">
        <v>57</v>
      </c>
      <c r="C3" s="98"/>
      <c r="D3" s="99" t="s">
        <v>68</v>
      </c>
    </row>
    <row r="4" spans="2:4" ht="16.5" thickBot="1">
      <c r="B4" s="100">
        <v>1</v>
      </c>
      <c r="C4" s="101" t="s">
        <v>58</v>
      </c>
      <c r="D4" s="151">
        <f>D5+D6+D7</f>
        <v>1740</v>
      </c>
    </row>
    <row r="5" spans="2:4">
      <c r="B5" s="102"/>
      <c r="C5" s="103" t="s">
        <v>59</v>
      </c>
      <c r="D5" s="152">
        <v>140</v>
      </c>
    </row>
    <row r="6" spans="2:4">
      <c r="B6" s="104"/>
      <c r="C6" s="105" t="s">
        <v>60</v>
      </c>
      <c r="D6" s="153">
        <v>1500</v>
      </c>
    </row>
    <row r="7" spans="2:4" ht="15.75" thickBot="1">
      <c r="B7" s="106"/>
      <c r="C7" s="107" t="s">
        <v>5</v>
      </c>
      <c r="D7" s="154">
        <v>100</v>
      </c>
    </row>
    <row r="8" spans="2:4" ht="16.5" thickBot="1">
      <c r="B8" s="100">
        <v>2</v>
      </c>
      <c r="C8" s="101" t="s">
        <v>61</v>
      </c>
      <c r="D8" s="151">
        <f>D9+D10+D11+D12</f>
        <v>200.76</v>
      </c>
    </row>
    <row r="9" spans="2:4">
      <c r="B9" s="102"/>
      <c r="C9" s="103" t="s">
        <v>62</v>
      </c>
      <c r="D9" s="152">
        <v>78</v>
      </c>
    </row>
    <row r="10" spans="2:4">
      <c r="B10" s="104"/>
      <c r="C10" s="105" t="s">
        <v>63</v>
      </c>
      <c r="D10" s="153">
        <v>100</v>
      </c>
    </row>
    <row r="11" spans="2:4">
      <c r="B11" s="106"/>
      <c r="C11" s="107" t="s">
        <v>64</v>
      </c>
      <c r="D11" s="154">
        <v>8.76</v>
      </c>
    </row>
    <row r="12" spans="2:4" ht="15.75" thickBot="1">
      <c r="B12" s="106"/>
      <c r="C12" s="107" t="s">
        <v>65</v>
      </c>
      <c r="D12" s="154">
        <v>14</v>
      </c>
    </row>
    <row r="13" spans="2:4" ht="16.5" thickBot="1">
      <c r="B13" s="100">
        <v>3</v>
      </c>
      <c r="C13" s="101" t="s">
        <v>2</v>
      </c>
      <c r="D13" s="151">
        <v>79.08</v>
      </c>
    </row>
    <row r="14" spans="2:4" ht="16.5" customHeight="1" thickBot="1">
      <c r="B14" s="100">
        <v>4</v>
      </c>
      <c r="C14" s="108" t="s">
        <v>1</v>
      </c>
      <c r="D14" s="113">
        <f>D15+D16</f>
        <v>1121</v>
      </c>
    </row>
    <row r="15" spans="2:4" ht="18" customHeight="1">
      <c r="B15" s="102"/>
      <c r="C15" s="109" t="s">
        <v>66</v>
      </c>
      <c r="D15" s="155">
        <v>266</v>
      </c>
    </row>
    <row r="16" spans="2:4" ht="16.5" customHeight="1" thickBot="1">
      <c r="B16" s="106"/>
      <c r="C16" s="110" t="s">
        <v>67</v>
      </c>
      <c r="D16" s="156">
        <v>855</v>
      </c>
    </row>
    <row r="17" spans="2:4" ht="16.5" thickBot="1">
      <c r="B17" s="111"/>
      <c r="C17" s="112" t="s">
        <v>10</v>
      </c>
      <c r="D17" s="113">
        <f>D4+D8+D13+D14</f>
        <v>3140.84</v>
      </c>
    </row>
  </sheetData>
  <mergeCells count="1"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Costing Template</vt:lpstr>
      <vt:lpstr>Summary</vt:lpstr>
      <vt:lpstr>Estimated amount</vt:lpstr>
    </vt:vector>
  </TitlesOfParts>
  <Company>World Health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PUROHIT, Vimlesh</dc:creator>
  <cp:lastModifiedBy>admin</cp:lastModifiedBy>
  <cp:lastPrinted>2020-12-10T05:32:35Z</cp:lastPrinted>
  <dcterms:created xsi:type="dcterms:W3CDTF">2016-08-11T07:08:09Z</dcterms:created>
  <dcterms:modified xsi:type="dcterms:W3CDTF">2021-01-14T09:47:42Z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-860874869</vt:i4>
  </property>
  <property fmtid="{D5CDD505-2E9C-101B-9397-08002B2CF9AE}" pid="3" name="_NewReviewCycle">
    <vt:lpwstr/>
  </property>
  <property fmtid="{D5CDD505-2E9C-101B-9397-08002B2CF9AE}" pid="4" name="_EmailSubject">
    <vt:lpwstr>PIP target-costing file</vt:lpwstr>
  </property>
  <property fmtid="{D5CDD505-2E9C-101B-9397-08002B2CF9AE}" pid="5" name="_AuthorEmail">
    <vt:lpwstr>purohitv@who.int</vt:lpwstr>
  </property>
  <property fmtid="{D5CDD505-2E9C-101B-9397-08002B2CF9AE}" pid="6" name="_AuthorEmailDisplayName">
    <vt:lpwstr>PUROHIT, Vimlesh</vt:lpwstr>
  </property>
  <property fmtid="{D5CDD505-2E9C-101B-9397-08002B2CF9AE}" pid="7" name="_ReviewingToolsShownOnce">
    <vt:lpwstr/>
  </property>
</Properties>
</file>