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135" windowWidth="20055" windowHeight="7695"/>
  </bookViews>
  <sheets>
    <sheet name="PIP 2024-25" sheetId="1" r:id="rId1"/>
    <sheet name="Justification" sheetId="2" r:id="rId2"/>
    <sheet name="Calculation" sheetId="3" r:id="rId3"/>
    <sheet name="PIP 2025-26" sheetId="4" r:id="rId4"/>
  </sheets>
  <definedNames>
    <definedName name="_xlnm.Print_Area" localSheetId="2">Calculation!$A$1:$K$59</definedName>
    <definedName name="_xlnm.Print_Area" localSheetId="1">Justification!$A$1:$F$28</definedName>
  </definedNames>
  <calcPr calcId="124519"/>
</workbook>
</file>

<file path=xl/calcChain.xml><?xml version="1.0" encoding="utf-8"?>
<calcChain xmlns="http://schemas.openxmlformats.org/spreadsheetml/2006/main">
  <c r="S8" i="1"/>
  <c r="S8" i="4"/>
  <c r="S7"/>
  <c r="S6"/>
  <c r="S5"/>
  <c r="S4"/>
  <c r="S3"/>
  <c r="S4" i="1"/>
  <c r="S5"/>
  <c r="S6"/>
  <c r="S7"/>
  <c r="S3"/>
  <c r="E47" i="3"/>
  <c r="E44"/>
  <c r="E46"/>
  <c r="E45"/>
  <c r="E48"/>
  <c r="D48"/>
  <c r="D47"/>
  <c r="E6" i="2"/>
  <c r="I33" i="3"/>
  <c r="H33"/>
  <c r="F8" i="2" l="1"/>
  <c r="E8"/>
  <c r="K48" i="3"/>
  <c r="K49"/>
  <c r="K50"/>
  <c r="K46"/>
  <c r="K45"/>
  <c r="J45"/>
  <c r="J51" s="1"/>
  <c r="E27" i="2" s="1"/>
  <c r="I46" i="3"/>
  <c r="K39"/>
  <c r="K38"/>
  <c r="K37"/>
  <c r="I37"/>
  <c r="E39"/>
  <c r="E38"/>
  <c r="E37"/>
  <c r="C37"/>
  <c r="D58"/>
  <c r="D57"/>
  <c r="D53"/>
  <c r="D45"/>
  <c r="K51" l="1"/>
  <c r="F27" i="2" s="1"/>
  <c r="K40" i="3"/>
  <c r="D59"/>
  <c r="E40"/>
  <c r="D46"/>
  <c r="D44"/>
  <c r="I40" l="1"/>
  <c r="F14" i="2"/>
  <c r="F4"/>
  <c r="E4"/>
  <c r="C40" i="3"/>
  <c r="F3" i="2"/>
  <c r="E3"/>
  <c r="F11"/>
  <c r="E11"/>
  <c r="G33" i="3"/>
  <c r="E28" i="2" l="1"/>
  <c r="F28"/>
  <c r="C29" i="3"/>
  <c r="E28"/>
  <c r="E26"/>
  <c r="E27"/>
  <c r="E25"/>
  <c r="F29"/>
  <c r="D29"/>
  <c r="E29" l="1"/>
  <c r="E2" i="2"/>
  <c r="E19" i="3" l="1"/>
  <c r="E20"/>
  <c r="E18"/>
  <c r="J19"/>
  <c r="K19" s="1"/>
  <c r="J20"/>
  <c r="J18"/>
  <c r="K18" s="1"/>
  <c r="H19"/>
  <c r="I19" s="1"/>
  <c r="H20"/>
  <c r="I20" s="1"/>
  <c r="H18"/>
  <c r="F19"/>
  <c r="G19" s="1"/>
  <c r="F20"/>
  <c r="G20" s="1"/>
  <c r="F18"/>
  <c r="G18" s="1"/>
  <c r="H9"/>
  <c r="I9" s="1"/>
  <c r="H10"/>
  <c r="I10" s="1"/>
  <c r="H11"/>
  <c r="I11" s="1"/>
  <c r="H12"/>
  <c r="I12" s="1"/>
  <c r="H8"/>
  <c r="F9"/>
  <c r="F10"/>
  <c r="F11"/>
  <c r="F12"/>
  <c r="F8"/>
  <c r="G8" s="1"/>
  <c r="E9"/>
  <c r="E10"/>
  <c r="E11"/>
  <c r="E12"/>
  <c r="E8"/>
  <c r="H21" l="1"/>
  <c r="J21"/>
  <c r="G21"/>
  <c r="K20"/>
  <c r="K21" s="1"/>
  <c r="F13"/>
  <c r="H13"/>
  <c r="F21"/>
  <c r="I18"/>
  <c r="I21" s="1"/>
  <c r="I8"/>
  <c r="I13" s="1"/>
  <c r="E13"/>
  <c r="E21" l="1"/>
  <c r="G9" l="1"/>
  <c r="G10"/>
  <c r="G11"/>
  <c r="G12"/>
  <c r="G13" l="1"/>
  <c r="F7" i="2"/>
  <c r="E7"/>
</calcChain>
</file>

<file path=xl/sharedStrings.xml><?xml version="1.0" encoding="utf-8"?>
<sst xmlns="http://schemas.openxmlformats.org/spreadsheetml/2006/main" count="259" uniqueCount="152">
  <si>
    <t>NCD.3</t>
  </si>
  <si>
    <t>National Programme for Health Care for the Elderly (NPHCE)</t>
  </si>
  <si>
    <t>Geriatric Care at DH</t>
  </si>
  <si>
    <t>Geriatric Care at CHC/SDH</t>
  </si>
  <si>
    <t>Geriatric Care at PHC/ SHC</t>
  </si>
  <si>
    <t xml:space="preserve">Community Based Intervention </t>
  </si>
  <si>
    <t>State specific Initiatives and Innovations</t>
  </si>
  <si>
    <t>FMR Code</t>
  </si>
  <si>
    <t>Programme/ Theme</t>
  </si>
  <si>
    <t>S.No.</t>
  </si>
  <si>
    <t>Scheme/ Activity</t>
  </si>
  <si>
    <t>DBT</t>
  </si>
  <si>
    <t>Infrastructure - Civil works (I&amp;C)</t>
  </si>
  <si>
    <t>Equipment (Including Furniture, Excluding Computers)</t>
  </si>
  <si>
    <t>Drugs and supplies</t>
  </si>
  <si>
    <r>
      <rPr>
        <b/>
        <sz val="11"/>
        <color rgb="FF000000"/>
        <rFont val="Calibri"/>
        <family val="2"/>
      </rPr>
      <t xml:space="preserve">Diagnostics (Consumables, </t>
    </r>
    <r>
      <rPr>
        <b/>
        <sz val="11"/>
        <color theme="1"/>
        <rFont val="Calibri"/>
        <family val="2"/>
      </rPr>
      <t>PPP</t>
    </r>
    <r>
      <rPr>
        <b/>
        <sz val="11"/>
        <color rgb="FF000000"/>
        <rFont val="Calibri"/>
        <family val="2"/>
      </rPr>
      <t>, Sample Transport)</t>
    </r>
  </si>
  <si>
    <t xml:space="preserve"> Capacity building incl. training</t>
  </si>
  <si>
    <t>ASHA incentives</t>
  </si>
  <si>
    <t>Others including operating costs(OOC)</t>
  </si>
  <si>
    <t>IEC &amp; Printing</t>
  </si>
  <si>
    <t>Planning &amp; M&amp;E</t>
  </si>
  <si>
    <t>Surveillance, Research, Review, Evaluation (SRRE)</t>
  </si>
  <si>
    <t>Amount Proposed for FY
2024-25</t>
  </si>
  <si>
    <t xml:space="preserve">Amount Proposed for </t>
  </si>
  <si>
    <t>State remarks</t>
  </si>
  <si>
    <t>Total amount recommended by NPCC FY
2024-25</t>
  </si>
  <si>
    <t>Total amount recommended by NPCC FY 2025-26</t>
  </si>
  <si>
    <t>Total approved amount (ROP) for FY
2024-25</t>
  </si>
  <si>
    <t>Total approved amount (ROP) for FY</t>
  </si>
  <si>
    <t>Remarks of NPCC/ Ministry</t>
  </si>
  <si>
    <t>Old / ongoing work</t>
  </si>
  <si>
    <t>New Work</t>
  </si>
  <si>
    <r>
      <rPr>
        <b/>
        <sz val="11"/>
        <color rgb="FF000000"/>
        <rFont val="Calibri"/>
        <family val="2"/>
      </rPr>
      <t>Central supplies (Kind grants)</t>
    </r>
    <r>
      <rPr>
        <sz val="11"/>
        <color rgb="FF000000"/>
        <rFont val="Calibri"/>
        <family val="2"/>
      </rPr>
      <t xml:space="preserve"> (To be provided by the PDs)</t>
    </r>
  </si>
  <si>
    <t>Budget for Procurement done by States</t>
  </si>
  <si>
    <t>Total</t>
  </si>
  <si>
    <t>FY
2025-26</t>
  </si>
  <si>
    <t>Reasons, if deviation more than +/- 10%</t>
  </si>
  <si>
    <t>2025-26</t>
  </si>
  <si>
    <t>SNO</t>
  </si>
  <si>
    <t>Head</t>
  </si>
  <si>
    <t>Subhead</t>
  </si>
  <si>
    <t>FY 2024-25 (In Lakhs)</t>
  </si>
  <si>
    <t>FY 2025-26 (In Lakhs)</t>
  </si>
  <si>
    <t>Diagnostics (Consumables, PPP, Sample Transport)</t>
  </si>
  <si>
    <t>S.No</t>
  </si>
  <si>
    <t>Particular</t>
  </si>
  <si>
    <t>Qty</t>
  </si>
  <si>
    <t>Per unit Cost</t>
  </si>
  <si>
    <t>Total Qty Required</t>
  </si>
  <si>
    <t>Total Cost District Wise</t>
  </si>
  <si>
    <t>Shortwave Diathermy</t>
  </si>
  <si>
    <t>Trans electric Nerve Stimulator</t>
  </si>
  <si>
    <t>Footstep Double</t>
  </si>
  <si>
    <t>Wheelchair</t>
  </si>
  <si>
    <t>Fowler bed with matters</t>
  </si>
  <si>
    <t>Shoulder Wheel</t>
  </si>
  <si>
    <t>Ultrasonic Therapy</t>
  </si>
  <si>
    <t>T Pulley</t>
  </si>
  <si>
    <t>Total Cost equipment wise</t>
  </si>
  <si>
    <t>Equipments</t>
  </si>
  <si>
    <t>Quantity</t>
  </si>
  <si>
    <t>TOTAL</t>
  </si>
  <si>
    <t>Procurement of Furniture required for Geriatric Wards DH, SDH, CHC</t>
  </si>
  <si>
    <t>DH</t>
  </si>
  <si>
    <t>SDH</t>
  </si>
  <si>
    <t>CHC</t>
  </si>
  <si>
    <t>PHC</t>
  </si>
  <si>
    <t>Cost for 99 SDH,CHC</t>
  </si>
  <si>
    <t>Cost for 100 SDH,CHC</t>
  </si>
  <si>
    <t>Physiotherapy equipment of SDH and CHC Level</t>
  </si>
  <si>
    <t>Cost for DH Wards</t>
  </si>
  <si>
    <t>Cost for 99 SDH, CHC</t>
  </si>
  <si>
    <t>Cost for 100 SDH, CHC</t>
  </si>
  <si>
    <t>Components</t>
  </si>
  <si>
    <t>Total Participants</t>
  </si>
  <si>
    <t>Nos</t>
  </si>
  <si>
    <t>Per unit cost</t>
  </si>
  <si>
    <t>Total Amount</t>
  </si>
  <si>
    <t>Training Materials(bag, pen, pad etc)</t>
  </si>
  <si>
    <t>Refreshment</t>
  </si>
  <si>
    <t>Banner</t>
  </si>
  <si>
    <t>Misce</t>
  </si>
  <si>
    <t xml:space="preserve"> -</t>
  </si>
  <si>
    <t>District Training Plan</t>
  </si>
  <si>
    <t>Participants</t>
  </si>
  <si>
    <t>Per Unit Printing cost</t>
  </si>
  <si>
    <t>Per Unit Refreshment cost</t>
  </si>
  <si>
    <t>Total Honorarim to trainers</t>
  </si>
  <si>
    <t>TOTAL AMOUNT</t>
  </si>
  <si>
    <t>Physiotherapy Day, International day of older person. 3*23= 69 Lakhs 2024-25 and 4*23= 92 Lakhs in 2025-26</t>
  </si>
  <si>
    <t>FY 2024-25</t>
  </si>
  <si>
    <t>FY 2025-26</t>
  </si>
  <si>
    <t>State TOT in FY 2024-25</t>
  </si>
  <si>
    <t>Sr. No.</t>
  </si>
  <si>
    <t>No.s</t>
  </si>
  <si>
    <t>Rate</t>
  </si>
  <si>
    <t>Refreshment ( High tea,  Lunch, Evening Tea)</t>
  </si>
  <si>
    <t>Mic cordless, multimedia projector</t>
  </si>
  <si>
    <t>1+1</t>
  </si>
  <si>
    <t>3250+800</t>
  </si>
  <si>
    <t>Photocopies (Manuals, Guidelines)</t>
  </si>
  <si>
    <t>Review meeting</t>
  </si>
  <si>
    <r>
      <rPr>
        <b/>
        <sz val="16"/>
        <rFont val="Times New Roman"/>
        <family val="1"/>
      </rPr>
      <t>Procurement for District Hospital Geriatric wards:-</t>
    </r>
    <r>
      <rPr>
        <sz val="16"/>
        <rFont val="Times New Roman"/>
        <family val="1"/>
      </rPr>
      <t xml:space="preserve"> Footstep Double, Wheelchair, Fowler bed with matters. 1.74*23= 40.02 lakhs for FY 2024-25</t>
    </r>
  </si>
  <si>
    <r>
      <rPr>
        <b/>
        <sz val="16"/>
        <rFont val="Times New Roman"/>
        <family val="1"/>
      </rPr>
      <t>Drugs</t>
    </r>
    <r>
      <rPr>
        <sz val="16"/>
        <rFont val="Times New Roman"/>
        <family val="1"/>
      </rPr>
      <t xml:space="preserve"> (1*23= 23 for FY 2024-25 and 1.5*23= 34.5 for 2025-26)</t>
    </r>
  </si>
  <si>
    <r>
      <rPr>
        <b/>
        <sz val="16"/>
        <rFont val="Times New Roman"/>
        <family val="1"/>
      </rPr>
      <t xml:space="preserve">Drugs </t>
    </r>
    <r>
      <rPr>
        <sz val="16"/>
        <rFont val="Times New Roman"/>
        <family val="1"/>
      </rPr>
      <t>50000 for each SDH/CHC</t>
    </r>
  </si>
  <si>
    <r>
      <rPr>
        <b/>
        <sz val="16"/>
        <rFont val="Times New Roman"/>
        <family val="1"/>
      </rPr>
      <t>Consumables</t>
    </r>
    <r>
      <rPr>
        <sz val="16"/>
        <rFont val="Times New Roman"/>
        <family val="1"/>
      </rPr>
      <t xml:space="preserve"> for smooth implementation of geriatric care. (2.5*23= 46 Lakhs)</t>
    </r>
  </si>
  <si>
    <t>Amount FY 2024-25</t>
  </si>
  <si>
    <t>Amount FY 2025-26</t>
  </si>
  <si>
    <t>Posters</t>
  </si>
  <si>
    <t>IEC Activities</t>
  </si>
  <si>
    <t>Sno</t>
  </si>
  <si>
    <t>Activity</t>
  </si>
  <si>
    <t>Rate in Lakhs</t>
  </si>
  <si>
    <r>
      <rPr>
        <b/>
        <sz val="16"/>
        <rFont val="Times New Roman"/>
        <family val="1"/>
      </rPr>
      <t>Mutlispeciality Camps for elderlycare at block level.</t>
    </r>
    <r>
      <rPr>
        <sz val="16"/>
        <rFont val="Times New Roman"/>
        <family val="1"/>
      </rPr>
      <t xml:space="preserve"> Camp service includes: Free eyecheck, ENT checkup, oral health, generalised health checkup. Camps will be at DH and Block level. (23+117)</t>
    </r>
  </si>
  <si>
    <t>Mutlispeciality Camps for elderlycare at block level.</t>
  </si>
  <si>
    <t>Unit Cost</t>
  </si>
  <si>
    <t>Total amount</t>
  </si>
  <si>
    <t>Full geriatric checking &amp; investigations</t>
  </si>
  <si>
    <t>ENT checkup</t>
  </si>
  <si>
    <t>Eye Checkup</t>
  </si>
  <si>
    <t>Distribution of spectacbles</t>
  </si>
  <si>
    <t>Mike and Banners</t>
  </si>
  <si>
    <t>Audio Spots (twice in year)</t>
  </si>
  <si>
    <t>Telecast for film spots in theatre (twice in year)</t>
  </si>
  <si>
    <t>Refreshments</t>
  </si>
  <si>
    <r>
      <rPr>
        <b/>
        <sz val="16"/>
        <rFont val="Times New Roman"/>
        <family val="1"/>
      </rPr>
      <t>Community centers for elderly care</t>
    </r>
    <r>
      <rPr>
        <sz val="16"/>
        <rFont val="Times New Roman"/>
        <family val="1"/>
      </rPr>
      <t xml:space="preserve"> which provides community-based, supportive services to frail, low-income older adults who need assistance to maintain their livelyhood. It provides wellness programs, nutritional support, educational programs about health and aging, and counseling services, as well as general assistance with home safety. Project will start as Pilot project in blocks of  4 Districts- Mohali, Fatehgarh Sahib, Ropar and Patiala. Per Districts two Centres (Rural and Urban) will be established each districts. </t>
    </r>
    <r>
      <rPr>
        <b/>
        <sz val="16"/>
        <rFont val="Times New Roman"/>
        <family val="1"/>
      </rPr>
      <t>(20*8= 160 lakhs for FY 2024-25) and next four districts in FY 2025-26</t>
    </r>
  </si>
  <si>
    <t>Particulars DFPOs+ DPM+ DEOs</t>
  </si>
  <si>
    <t>78*1130</t>
  </si>
  <si>
    <t>78*200</t>
  </si>
  <si>
    <t>a. Implementation of NPHCE in all SDH/CHC level. Physiotherapy units to be establish in CHC/SDH level. Establishment will be done in phased manner.                                                b. Physiotherapy units is going to be establish in SDH and CHC level in a phased manner in remaining 100 CHC/SDH.  Calculation sheet has been attached</t>
  </si>
  <si>
    <r>
      <rPr>
        <b/>
        <sz val="16"/>
        <rFont val="Times New Roman"/>
        <family val="1"/>
      </rPr>
      <t xml:space="preserve">Training for elderlycare of Mos and Staff Nurses. </t>
    </r>
    <r>
      <rPr>
        <sz val="16"/>
        <rFont val="Times New Roman"/>
        <family val="1"/>
      </rPr>
      <t>Training will be conducted with 2 MO, 6 SNs. Calculation sheet has been attached</t>
    </r>
  </si>
  <si>
    <t>Community Centre for elderly</t>
  </si>
  <si>
    <t>Sno.</t>
  </si>
  <si>
    <t>Amount in Lakhs</t>
  </si>
  <si>
    <t>Total Amount FY 2024-25</t>
  </si>
  <si>
    <t>Total Amount FY 2025-26</t>
  </si>
  <si>
    <t xml:space="preserve">2 Centre in each District establishment </t>
  </si>
  <si>
    <t>1 Non Recurring Cost</t>
  </si>
  <si>
    <t xml:space="preserve">2 Operational Cost recurring </t>
  </si>
  <si>
    <t>HR (2 Chowkidar, 2 Caretaker)</t>
  </si>
  <si>
    <t>Electricity Bills</t>
  </si>
  <si>
    <t>Water</t>
  </si>
  <si>
    <t>Gas expenditure</t>
  </si>
  <si>
    <t>Financial Statement</t>
  </si>
  <si>
    <r>
      <t xml:space="preserve">Operational cost for State and District  for Stationery , computer  and Internet Bill  Rs. 6000 *12 =72000*2 =140000  for State and  for District Rs.6000*12*23*2 =3312000.                                                                                                                                    </t>
    </r>
    <r>
      <rPr>
        <b/>
        <sz val="16"/>
        <rFont val="Times New Roman"/>
        <family val="1"/>
      </rPr>
      <t>(Total  amount 144000+3312000=3456000 for 2024-25 and 2025-26.)</t>
    </r>
  </si>
  <si>
    <t>30 MO, 30 SN &amp; 1 Physiotherapist</t>
  </si>
  <si>
    <t>IEC activities like Audio spots, posters and telecast of film spots in theatres, Social media</t>
  </si>
  <si>
    <t>Hiring  and execution for Social Media vedio telecast</t>
  </si>
  <si>
    <r>
      <rPr>
        <b/>
        <sz val="16"/>
        <rFont val="Times New Roman"/>
        <family val="1"/>
      </rPr>
      <t xml:space="preserve">Training for elderlycare   </t>
    </r>
    <r>
      <rPr>
        <sz val="16"/>
        <rFont val="Times New Roman"/>
        <family val="1"/>
      </rPr>
      <t xml:space="preserve">                                                                                                   A. State TOT will be conducted with 2 Medical Specialist and 2 Sen Staff Nurses from DH. Total participants will be around 112. </t>
    </r>
    <r>
      <rPr>
        <b/>
        <sz val="16"/>
        <rFont val="Times New Roman"/>
        <family val="1"/>
      </rPr>
      <t>(2 Lakhs for FY 2024-25)</t>
    </r>
    <r>
      <rPr>
        <sz val="16"/>
        <rFont val="Times New Roman"/>
        <family val="1"/>
      </rPr>
      <t xml:space="preserve">                                                              B. District Training will be conducted with MO, SNs and Physiotherapist from each district. </t>
    </r>
    <r>
      <rPr>
        <b/>
        <sz val="16"/>
        <rFont val="Times New Roman"/>
        <family val="1"/>
      </rPr>
      <t>(9,12,950 lakhs 2024-25)</t>
    </r>
    <r>
      <rPr>
        <sz val="16"/>
        <rFont val="Times New Roman"/>
        <family val="1"/>
      </rPr>
      <t xml:space="preserve"> Calculation sheet has been attached</t>
    </r>
  </si>
  <si>
    <t>Total FY 2024-25</t>
  </si>
  <si>
    <t>Total FY 2025-26</t>
  </si>
  <si>
    <r>
      <rPr>
        <b/>
        <sz val="16"/>
        <rFont val="Times New Roman"/>
        <family val="1"/>
      </rPr>
      <t>a. Review meetings at State Level</t>
    </r>
    <r>
      <rPr>
        <sz val="16"/>
        <rFont val="Times New Roman"/>
        <family val="1"/>
      </rPr>
      <t xml:space="preserve"> twice a year to monitor the progress of programme. Total participants is around 110. Calculation sheet has been attached.                               </t>
    </r>
    <r>
      <rPr>
        <b/>
        <sz val="16"/>
        <rFont val="Times New Roman"/>
        <family val="1"/>
      </rPr>
      <t>B. State Level Monitoring Cell-</t>
    </r>
    <r>
      <rPr>
        <sz val="16"/>
        <rFont val="Times New Roman"/>
        <family val="1"/>
      </rPr>
      <t xml:space="preserve"> It is proposed that for the smooth monitoring of functioning of NPHCE Programme, 1 IT analysist, 24 Coordinators, 25 Data Entry Operator is required. Separate Proposal will be sent for HR PIP</t>
    </r>
  </si>
</sst>
</file>

<file path=xl/styles.xml><?xml version="1.0" encoding="utf-8"?>
<styleSheet xmlns="http://schemas.openxmlformats.org/spreadsheetml/2006/main">
  <numFmts count="1">
    <numFmt numFmtId="43" formatCode="_ * #,##0.00_ ;_ * \-#,##0.00_ ;_ * &quot;-&quot;??_ ;_ @_ "/>
  </numFmts>
  <fonts count="18">
    <font>
      <sz val="11"/>
      <color theme="1"/>
      <name val="Calibri"/>
      <family val="2"/>
      <scheme val="minor"/>
    </font>
    <font>
      <b/>
      <sz val="11"/>
      <color rgb="FF305496"/>
      <name val="Calibri"/>
      <family val="2"/>
    </font>
    <font>
      <b/>
      <sz val="11"/>
      <color rgb="FF2F5496"/>
      <name val="Calibri"/>
      <family val="2"/>
    </font>
    <font>
      <b/>
      <sz val="11"/>
      <color rgb="FF000000"/>
      <name val="Calibri"/>
      <family val="2"/>
    </font>
    <font>
      <sz val="11"/>
      <color rgb="FF000000"/>
      <name val="Calibri"/>
      <family val="2"/>
    </font>
    <font>
      <b/>
      <sz val="11"/>
      <color theme="1"/>
      <name val="Calibri"/>
      <family val="2"/>
    </font>
    <font>
      <sz val="11"/>
      <color theme="1"/>
      <name val="Calibri"/>
      <family val="2"/>
    </font>
    <font>
      <sz val="11"/>
      <name val="Calibri"/>
      <family val="2"/>
    </font>
    <font>
      <sz val="11"/>
      <color theme="1"/>
      <name val="Calibri"/>
      <family val="2"/>
      <scheme val="minor"/>
    </font>
    <font>
      <b/>
      <sz val="12"/>
      <color theme="1"/>
      <name val="Calibri"/>
      <family val="2"/>
      <scheme val="minor"/>
    </font>
    <font>
      <sz val="12"/>
      <color theme="1"/>
      <name val="Calibri"/>
      <family val="2"/>
      <scheme val="minor"/>
    </font>
    <font>
      <b/>
      <sz val="16"/>
      <name val="Times New Roman"/>
      <family val="1"/>
    </font>
    <font>
      <sz val="16"/>
      <name val="Times New Roman"/>
      <family val="1"/>
    </font>
    <font>
      <b/>
      <sz val="13"/>
      <color theme="1"/>
      <name val="Times New Roman"/>
      <family val="1"/>
    </font>
    <font>
      <b/>
      <sz val="14"/>
      <color theme="1"/>
      <name val="Calibri"/>
      <family val="2"/>
      <scheme val="minor"/>
    </font>
    <font>
      <b/>
      <sz val="20"/>
      <name val="Times New Roman"/>
      <family val="1"/>
    </font>
    <font>
      <b/>
      <sz val="18"/>
      <color theme="1"/>
      <name val="Calibri"/>
      <family val="2"/>
      <scheme val="minor"/>
    </font>
    <font>
      <b/>
      <sz val="22"/>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0"/>
        <bgColor rgb="FFFFFF00"/>
      </patternFill>
    </fill>
    <fill>
      <patternFill patternType="solid">
        <fgColor rgb="FFB4C6E7"/>
        <bgColor rgb="FFB4C6E7"/>
      </patternFill>
    </fill>
  </fills>
  <borders count="3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top style="medium">
        <color indexed="64"/>
      </top>
      <bottom style="thin">
        <color auto="1"/>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medium">
        <color indexed="64"/>
      </left>
      <right style="thin">
        <color auto="1"/>
      </right>
      <top/>
      <bottom style="thin">
        <color auto="1"/>
      </bottom>
      <diagonal/>
    </border>
    <border>
      <left style="thin">
        <color auto="1"/>
      </left>
      <right/>
      <top style="thin">
        <color auto="1"/>
      </top>
      <bottom style="medium">
        <color indexed="64"/>
      </bottom>
      <diagonal/>
    </border>
    <border>
      <left/>
      <right/>
      <top style="thin">
        <color auto="1"/>
      </top>
      <bottom style="medium">
        <color indexed="64"/>
      </bottom>
      <diagonal/>
    </border>
    <border>
      <left/>
      <right style="thin">
        <color auto="1"/>
      </right>
      <top style="thin">
        <color auto="1"/>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n">
        <color auto="1"/>
      </top>
      <bottom style="thin">
        <color auto="1"/>
      </bottom>
      <diagonal/>
    </border>
    <border>
      <left style="medium">
        <color indexed="64"/>
      </left>
      <right style="thin">
        <color auto="1"/>
      </right>
      <top style="thin">
        <color auto="1"/>
      </top>
      <bottom/>
      <diagonal/>
    </border>
    <border>
      <left style="thin">
        <color auto="1"/>
      </left>
      <right style="medium">
        <color indexed="64"/>
      </right>
      <top style="thin">
        <color auto="1"/>
      </top>
      <bottom/>
      <diagonal/>
    </border>
    <border>
      <left style="medium">
        <color indexed="64"/>
      </left>
      <right/>
      <top/>
      <bottom style="thin">
        <color auto="1"/>
      </bottom>
      <diagonal/>
    </border>
    <border>
      <left/>
      <right/>
      <top/>
      <bottom style="thin">
        <color auto="1"/>
      </bottom>
      <diagonal/>
    </border>
  </borders>
  <cellStyleXfs count="2">
    <xf numFmtId="0" fontId="0" fillId="0" borderId="0"/>
    <xf numFmtId="43" fontId="8" fillId="0" borderId="0" applyFont="0" applyFill="0" applyBorder="0" applyAlignment="0" applyProtection="0"/>
  </cellStyleXfs>
  <cellXfs count="144">
    <xf numFmtId="0" fontId="0" fillId="0" borderId="0" xfId="0"/>
    <xf numFmtId="0" fontId="2" fillId="2" borderId="1" xfId="0" applyFont="1" applyFill="1" applyBorder="1" applyAlignment="1">
      <alignment horizontal="center" vertical="center" wrapText="1"/>
    </xf>
    <xf numFmtId="0" fontId="3" fillId="4" borderId="4"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4" borderId="5" xfId="0" applyFont="1" applyFill="1" applyBorder="1" applyAlignment="1">
      <alignment horizontal="center" vertical="center" wrapText="1"/>
    </xf>
    <xf numFmtId="0" fontId="4" fillId="0" borderId="0" xfId="0" applyFont="1" applyAlignment="1">
      <alignment horizontal="center" vertical="center" wrapText="1"/>
    </xf>
    <xf numFmtId="0" fontId="2" fillId="3"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5" fillId="2"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0" xfId="0" applyFont="1" applyFill="1" applyAlignment="1">
      <alignment horizontal="center" vertical="center" wrapText="1"/>
    </xf>
    <xf numFmtId="0" fontId="0" fillId="0" borderId="0" xfId="0" applyAlignment="1">
      <alignment horizontal="center" vertical="center"/>
    </xf>
    <xf numFmtId="0" fontId="10" fillId="0" borderId="0" xfId="0" applyFont="1" applyAlignment="1">
      <alignment horizontal="center" vertical="center"/>
    </xf>
    <xf numFmtId="0" fontId="9" fillId="0" borderId="0" xfId="0" applyFont="1" applyBorder="1" applyAlignment="1">
      <alignment horizontal="center" vertical="center"/>
    </xf>
    <xf numFmtId="43" fontId="10" fillId="0" borderId="0" xfId="1" applyFont="1" applyAlignment="1">
      <alignment horizontal="center" vertical="center"/>
    </xf>
    <xf numFmtId="0" fontId="10" fillId="0" borderId="0" xfId="0" applyFont="1" applyBorder="1" applyAlignment="1">
      <alignment horizontal="center" vertical="center"/>
    </xf>
    <xf numFmtId="0" fontId="9" fillId="0" borderId="0" xfId="0" applyFont="1" applyAlignment="1">
      <alignment horizontal="center" vertical="center"/>
    </xf>
    <xf numFmtId="43" fontId="9" fillId="0" borderId="1" xfId="1" applyFont="1" applyBorder="1" applyAlignment="1">
      <alignment horizontal="center" vertical="center"/>
    </xf>
    <xf numFmtId="0" fontId="10" fillId="0" borderId="1" xfId="0" applyFont="1" applyBorder="1" applyAlignment="1">
      <alignment horizontal="center" vertical="center"/>
    </xf>
    <xf numFmtId="43" fontId="10" fillId="0" borderId="1" xfId="1" applyFont="1" applyBorder="1" applyAlignment="1">
      <alignment horizontal="center" vertical="center"/>
    </xf>
    <xf numFmtId="43" fontId="10" fillId="0" borderId="1" xfId="0" applyNumberFormat="1" applyFont="1" applyBorder="1" applyAlignment="1">
      <alignment horizontal="center" vertical="center"/>
    </xf>
    <xf numFmtId="43" fontId="10" fillId="0" borderId="0" xfId="1" applyFont="1" applyBorder="1" applyAlignment="1">
      <alignment horizontal="center" vertical="center"/>
    </xf>
    <xf numFmtId="0" fontId="10" fillId="0" borderId="1" xfId="0" applyFont="1" applyBorder="1" applyAlignment="1">
      <alignment horizontal="center" vertical="center" wrapText="1"/>
    </xf>
    <xf numFmtId="0" fontId="10" fillId="0" borderId="1" xfId="1" applyNumberFormat="1" applyFont="1" applyBorder="1" applyAlignment="1">
      <alignment horizontal="center" vertical="center"/>
    </xf>
    <xf numFmtId="43" fontId="9" fillId="0" borderId="0" xfId="1" applyFont="1" applyAlignment="1">
      <alignment horizontal="center" vertical="center"/>
    </xf>
    <xf numFmtId="0" fontId="9" fillId="0" borderId="1" xfId="0" applyFont="1" applyBorder="1" applyAlignment="1">
      <alignment horizontal="center" vertical="center" wrapText="1"/>
    </xf>
    <xf numFmtId="0" fontId="10" fillId="0" borderId="0" xfId="0" applyFont="1" applyAlignment="1">
      <alignment horizontal="center" vertical="center" wrapText="1"/>
    </xf>
    <xf numFmtId="0" fontId="9" fillId="0" borderId="5" xfId="0" applyFont="1" applyBorder="1" applyAlignment="1">
      <alignment horizontal="center" vertical="center" wrapText="1"/>
    </xf>
    <xf numFmtId="0" fontId="10" fillId="0" borderId="0" xfId="0" applyFont="1" applyBorder="1" applyAlignment="1">
      <alignment horizontal="center" vertical="center" wrapText="1"/>
    </xf>
    <xf numFmtId="43" fontId="9" fillId="0" borderId="5" xfId="1" applyFont="1" applyBorder="1" applyAlignment="1">
      <alignment horizontal="center" vertical="center" wrapText="1"/>
    </xf>
    <xf numFmtId="43" fontId="9" fillId="0" borderId="1" xfId="1" applyFont="1" applyBorder="1" applyAlignment="1">
      <alignment horizontal="center" vertical="center" wrapText="1"/>
    </xf>
    <xf numFmtId="0" fontId="9" fillId="0" borderId="0" xfId="0" applyFont="1" applyBorder="1" applyAlignment="1">
      <alignment horizontal="center" vertical="center" wrapText="1"/>
    </xf>
    <xf numFmtId="0" fontId="9" fillId="0" borderId="0" xfId="0" applyFont="1" applyAlignment="1">
      <alignment horizontal="center" vertical="center" wrapText="1"/>
    </xf>
    <xf numFmtId="0" fontId="11" fillId="0" borderId="1" xfId="0" applyFont="1" applyFill="1" applyBorder="1" applyAlignment="1">
      <alignment horizontal="center" vertical="center" wrapText="1"/>
    </xf>
    <xf numFmtId="0" fontId="12" fillId="0" borderId="1" xfId="0" applyFont="1" applyFill="1" applyBorder="1"/>
    <xf numFmtId="0" fontId="12" fillId="0" borderId="1" xfId="0" applyFont="1" applyFill="1" applyBorder="1" applyAlignment="1">
      <alignment horizontal="center" vertical="center" wrapText="1"/>
    </xf>
    <xf numFmtId="0" fontId="12" fillId="0" borderId="1" xfId="0" applyFont="1" applyFill="1" applyBorder="1" applyAlignment="1">
      <alignment wrapText="1"/>
    </xf>
    <xf numFmtId="0" fontId="11" fillId="0" borderId="4" xfId="0" applyFont="1" applyFill="1" applyBorder="1" applyAlignment="1">
      <alignment vertical="center" wrapText="1"/>
    </xf>
    <xf numFmtId="0" fontId="11" fillId="0" borderId="4" xfId="0" applyFont="1" applyFill="1" applyBorder="1" applyAlignment="1">
      <alignment horizontal="center" vertical="center" wrapText="1"/>
    </xf>
    <xf numFmtId="0" fontId="12" fillId="0" borderId="1" xfId="0" applyFont="1" applyFill="1" applyBorder="1" applyAlignment="1">
      <alignment horizontal="center" vertical="center"/>
    </xf>
    <xf numFmtId="43" fontId="11" fillId="0" borderId="1" xfId="1" applyNumberFormat="1" applyFont="1" applyFill="1" applyBorder="1" applyAlignment="1">
      <alignment horizontal="center" vertical="center" wrapText="1"/>
    </xf>
    <xf numFmtId="43" fontId="12" fillId="0" borderId="1" xfId="1" applyNumberFormat="1" applyFont="1" applyFill="1" applyBorder="1" applyAlignment="1">
      <alignment horizontal="center" vertical="center"/>
    </xf>
    <xf numFmtId="43" fontId="12" fillId="0" borderId="1" xfId="1" applyNumberFormat="1" applyFont="1" applyFill="1" applyBorder="1"/>
    <xf numFmtId="0" fontId="13" fillId="0" borderId="1" xfId="0" applyFont="1" applyBorder="1" applyAlignment="1">
      <alignment horizontal="center" vertical="center" wrapText="1"/>
    </xf>
    <xf numFmtId="0" fontId="15" fillId="0" borderId="1" xfId="0" applyFont="1" applyFill="1" applyBorder="1" applyAlignment="1">
      <alignment horizontal="center" vertical="center"/>
    </xf>
    <xf numFmtId="0" fontId="15" fillId="0" borderId="1" xfId="0" applyFont="1" applyFill="1" applyBorder="1" applyAlignment="1">
      <alignment horizontal="center" vertical="center" wrapText="1"/>
    </xf>
    <xf numFmtId="43" fontId="15" fillId="0" borderId="1" xfId="1" applyNumberFormat="1" applyFont="1" applyFill="1" applyBorder="1" applyAlignment="1">
      <alignment horizontal="center" vertical="center"/>
    </xf>
    <xf numFmtId="0" fontId="10" fillId="0" borderId="6" xfId="0" applyFont="1" applyBorder="1" applyAlignment="1">
      <alignment horizontal="center" vertical="center" wrapText="1"/>
    </xf>
    <xf numFmtId="0" fontId="9" fillId="0" borderId="1" xfId="0" applyFont="1" applyBorder="1" applyAlignment="1">
      <alignment horizontal="center" vertical="center"/>
    </xf>
    <xf numFmtId="0" fontId="9" fillId="0" borderId="1" xfId="0" applyFont="1" applyBorder="1" applyAlignment="1">
      <alignment horizontal="center" vertical="center"/>
    </xf>
    <xf numFmtId="0" fontId="9" fillId="0" borderId="10" xfId="0" applyFont="1" applyBorder="1" applyAlignment="1">
      <alignment horizontal="center" vertical="center"/>
    </xf>
    <xf numFmtId="0" fontId="9" fillId="0" borderId="11" xfId="0" applyFont="1" applyBorder="1" applyAlignment="1">
      <alignment horizontal="center" vertical="center"/>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9" fillId="0" borderId="12" xfId="0" applyFont="1" applyBorder="1" applyAlignment="1">
      <alignment horizontal="center" vertical="center"/>
    </xf>
    <xf numFmtId="0" fontId="9" fillId="0" borderId="13" xfId="0" applyFont="1" applyBorder="1" applyAlignment="1">
      <alignment horizontal="center" vertical="center" wrapText="1"/>
    </xf>
    <xf numFmtId="0" fontId="9" fillId="0" borderId="13" xfId="0" applyFont="1" applyBorder="1" applyAlignment="1">
      <alignment horizontal="center" vertical="center"/>
    </xf>
    <xf numFmtId="43" fontId="9" fillId="0" borderId="13" xfId="1" applyFont="1" applyBorder="1" applyAlignment="1">
      <alignment horizontal="center" vertical="center"/>
    </xf>
    <xf numFmtId="43" fontId="9" fillId="0" borderId="14" xfId="1" applyFont="1" applyBorder="1" applyAlignment="1">
      <alignment horizontal="center" vertical="center"/>
    </xf>
    <xf numFmtId="0" fontId="10" fillId="0" borderId="6" xfId="0" applyFont="1" applyBorder="1" applyAlignment="1">
      <alignment horizontal="center" vertical="center"/>
    </xf>
    <xf numFmtId="43" fontId="10" fillId="0" borderId="6" xfId="1" applyFont="1" applyBorder="1" applyAlignment="1">
      <alignment horizontal="center" vertical="center"/>
    </xf>
    <xf numFmtId="0" fontId="9" fillId="0" borderId="10" xfId="0" applyFont="1" applyBorder="1" applyAlignment="1">
      <alignment horizontal="center" vertical="center" wrapText="1"/>
    </xf>
    <xf numFmtId="43" fontId="10" fillId="0" borderId="11" xfId="1" applyFont="1" applyBorder="1" applyAlignment="1">
      <alignment horizontal="center" vertical="center"/>
    </xf>
    <xf numFmtId="0" fontId="10" fillId="0" borderId="12" xfId="0" applyFont="1" applyBorder="1" applyAlignment="1">
      <alignment horizontal="center" vertical="center"/>
    </xf>
    <xf numFmtId="0" fontId="10" fillId="0" borderId="13" xfId="0" applyFont="1" applyBorder="1" applyAlignment="1">
      <alignment horizontal="center" vertical="center"/>
    </xf>
    <xf numFmtId="43" fontId="10" fillId="0" borderId="14" xfId="1" applyFont="1" applyBorder="1" applyAlignment="1">
      <alignment horizontal="center" vertical="center"/>
    </xf>
    <xf numFmtId="0" fontId="9" fillId="0" borderId="10" xfId="0" applyFont="1" applyBorder="1" applyAlignment="1">
      <alignment horizontal="center" vertical="center"/>
    </xf>
    <xf numFmtId="0" fontId="9" fillId="0" borderId="18" xfId="0" applyFont="1" applyBorder="1" applyAlignment="1">
      <alignment horizontal="center" vertical="center" wrapText="1"/>
    </xf>
    <xf numFmtId="43" fontId="9" fillId="0" borderId="11" xfId="1" applyFont="1" applyBorder="1" applyAlignment="1">
      <alignment horizontal="center" vertical="center" wrapText="1"/>
    </xf>
    <xf numFmtId="43" fontId="10" fillId="0" borderId="11" xfId="0" applyNumberFormat="1" applyFont="1" applyBorder="1" applyAlignment="1">
      <alignment horizontal="center" vertical="center"/>
    </xf>
    <xf numFmtId="0" fontId="9" fillId="0" borderId="21" xfId="0" applyFont="1" applyBorder="1" applyAlignment="1">
      <alignment horizontal="center" vertical="center"/>
    </xf>
    <xf numFmtId="43" fontId="9" fillId="0" borderId="14" xfId="0" applyNumberFormat="1" applyFont="1" applyBorder="1" applyAlignment="1">
      <alignment horizontal="center" vertical="center"/>
    </xf>
    <xf numFmtId="0" fontId="9" fillId="0" borderId="8" xfId="0" applyFont="1" applyBorder="1" applyAlignment="1">
      <alignment horizontal="center" vertical="center"/>
    </xf>
    <xf numFmtId="0" fontId="9" fillId="0" borderId="13" xfId="1" applyNumberFormat="1" applyFont="1" applyBorder="1" applyAlignment="1">
      <alignment horizontal="center" vertical="center"/>
    </xf>
    <xf numFmtId="0" fontId="9" fillId="0" borderId="12" xfId="0" applyFont="1" applyBorder="1" applyAlignment="1">
      <alignment horizontal="center" vertical="center" wrapText="1"/>
    </xf>
    <xf numFmtId="0" fontId="13" fillId="0" borderId="0" xfId="0" applyFont="1" applyBorder="1" applyAlignment="1">
      <alignment horizontal="center" vertical="center" wrapText="1"/>
    </xf>
    <xf numFmtId="0" fontId="10" fillId="0" borderId="0" xfId="0" applyFont="1" applyBorder="1" applyAlignment="1">
      <alignment vertical="center" wrapText="1"/>
    </xf>
    <xf numFmtId="0" fontId="9" fillId="0" borderId="11" xfId="0" applyFont="1" applyBorder="1" applyAlignment="1">
      <alignment horizontal="center" vertical="center"/>
    </xf>
    <xf numFmtId="0" fontId="9" fillId="0" borderId="7" xfId="0" applyFont="1" applyBorder="1" applyAlignment="1">
      <alignment horizontal="center" vertical="center"/>
    </xf>
    <xf numFmtId="0" fontId="9" fillId="0" borderId="9" xfId="0" applyFont="1" applyBorder="1" applyAlignment="1">
      <alignment horizontal="center" vertical="center"/>
    </xf>
    <xf numFmtId="0" fontId="9" fillId="0" borderId="10" xfId="0" applyFont="1" applyBorder="1" applyAlignment="1">
      <alignment horizontal="center" vertical="center"/>
    </xf>
    <xf numFmtId="0" fontId="13" fillId="0" borderId="10" xfId="0" applyFont="1" applyBorder="1" applyAlignment="1">
      <alignment horizontal="center" vertical="center" wrapText="1"/>
    </xf>
    <xf numFmtId="0" fontId="13" fillId="0" borderId="11" xfId="0" applyFont="1" applyBorder="1" applyAlignment="1">
      <alignment horizontal="center" vertical="center" wrapText="1"/>
    </xf>
    <xf numFmtId="0" fontId="10" fillId="0" borderId="10" xfId="0" applyFont="1" applyBorder="1" applyAlignment="1">
      <alignment horizontal="center" vertical="center" wrapText="1"/>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43" fontId="9" fillId="0" borderId="14" xfId="1" applyFont="1" applyBorder="1" applyAlignment="1">
      <alignment horizontal="center" vertical="center" wrapText="1"/>
    </xf>
    <xf numFmtId="43" fontId="10" fillId="0" borderId="11" xfId="1" applyFont="1" applyBorder="1" applyAlignment="1">
      <alignment horizontal="center" vertical="center" wrapText="1"/>
    </xf>
    <xf numFmtId="0" fontId="9" fillId="0" borderId="14" xfId="0" applyFont="1" applyBorder="1" applyAlignment="1">
      <alignment horizontal="center" vertical="center"/>
    </xf>
    <xf numFmtId="0" fontId="9" fillId="0" borderId="1" xfId="0" applyFont="1" applyBorder="1" applyAlignment="1">
      <alignment horizontal="center" vertical="center" wrapText="1"/>
    </xf>
    <xf numFmtId="0" fontId="9" fillId="0" borderId="1" xfId="0" applyFont="1" applyBorder="1" applyAlignment="1">
      <alignment horizontal="center" vertical="center"/>
    </xf>
    <xf numFmtId="0" fontId="10" fillId="0" borderId="1" xfId="1" applyNumberFormat="1" applyFont="1" applyBorder="1" applyAlignment="1">
      <alignment horizontal="center" vertical="center" wrapText="1"/>
    </xf>
    <xf numFmtId="43" fontId="10" fillId="0" borderId="3" xfId="1" applyFont="1" applyBorder="1" applyAlignment="1">
      <alignment vertical="center"/>
    </xf>
    <xf numFmtId="0" fontId="9" fillId="0" borderId="11" xfId="0" applyFont="1" applyBorder="1" applyAlignment="1">
      <alignment horizontal="center" vertical="center"/>
    </xf>
    <xf numFmtId="0" fontId="10" fillId="0" borderId="26"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4" xfId="0" applyFont="1" applyBorder="1" applyAlignment="1">
      <alignment horizontal="center" vertical="center"/>
    </xf>
    <xf numFmtId="43" fontId="10" fillId="0" borderId="27" xfId="1" applyFont="1" applyBorder="1" applyAlignment="1">
      <alignment horizontal="center" vertical="center"/>
    </xf>
    <xf numFmtId="0" fontId="3" fillId="4" borderId="1" xfId="0" applyFont="1" applyFill="1" applyBorder="1" applyAlignment="1">
      <alignment horizontal="center" vertical="center" wrapText="1"/>
    </xf>
    <xf numFmtId="0" fontId="3" fillId="4" borderId="4" xfId="0" applyFont="1" applyFill="1" applyBorder="1" applyAlignment="1">
      <alignment horizontal="center" vertical="center" wrapText="1"/>
    </xf>
    <xf numFmtId="0" fontId="3" fillId="4" borderId="5"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3" fillId="4" borderId="4" xfId="0" applyFont="1" applyFill="1" applyBorder="1" applyAlignment="1">
      <alignment horizontal="center" vertical="center" wrapText="1"/>
    </xf>
    <xf numFmtId="0" fontId="3" fillId="4" borderId="5"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3" fillId="4" borderId="2"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1" fillId="0" borderId="6" xfId="0" applyFont="1" applyFill="1" applyBorder="1" applyAlignment="1">
      <alignment horizontal="center" vertical="center" wrapText="1"/>
    </xf>
    <xf numFmtId="0" fontId="11" fillId="0" borderId="5" xfId="0" applyFont="1" applyFill="1" applyBorder="1" applyAlignment="1">
      <alignment horizontal="center" vertical="center" wrapText="1"/>
    </xf>
    <xf numFmtId="0" fontId="9" fillId="0" borderId="15" xfId="0" applyFont="1" applyBorder="1" applyAlignment="1">
      <alignment horizontal="center" vertical="center"/>
    </xf>
    <xf numFmtId="0" fontId="9" fillId="0" borderId="16" xfId="0" applyFont="1" applyBorder="1" applyAlignment="1">
      <alignment horizontal="center" vertical="center"/>
    </xf>
    <xf numFmtId="0" fontId="9" fillId="0" borderId="17" xfId="0" applyFont="1" applyBorder="1" applyAlignment="1">
      <alignment horizontal="center" vertical="center"/>
    </xf>
    <xf numFmtId="0" fontId="9" fillId="0" borderId="1" xfId="0" applyFont="1" applyBorder="1" applyAlignment="1">
      <alignment horizontal="center" vertical="center"/>
    </xf>
    <xf numFmtId="0" fontId="9" fillId="0" borderId="10" xfId="0" applyFont="1" applyBorder="1" applyAlignment="1">
      <alignment horizontal="center" vertical="center"/>
    </xf>
    <xf numFmtId="0" fontId="9" fillId="0" borderId="2" xfId="0" applyFont="1" applyBorder="1" applyAlignment="1">
      <alignment horizontal="center" vertical="center"/>
    </xf>
    <xf numFmtId="0" fontId="9" fillId="0" borderId="3" xfId="0" applyFont="1" applyBorder="1" applyAlignment="1">
      <alignment horizontal="center" vertical="center"/>
    </xf>
    <xf numFmtId="0" fontId="9" fillId="0" borderId="11" xfId="0" applyFont="1" applyBorder="1" applyAlignment="1">
      <alignment horizontal="center" vertical="center"/>
    </xf>
    <xf numFmtId="0" fontId="9" fillId="0" borderId="19" xfId="0" applyFont="1" applyBorder="1" applyAlignment="1">
      <alignment horizontal="center" vertical="center"/>
    </xf>
    <xf numFmtId="0" fontId="9" fillId="0" borderId="20" xfId="0" applyFont="1" applyBorder="1" applyAlignment="1">
      <alignment horizontal="center" vertical="center"/>
    </xf>
    <xf numFmtId="0" fontId="9" fillId="0" borderId="21" xfId="0" applyFont="1" applyBorder="1" applyAlignment="1">
      <alignment horizontal="center" vertical="center"/>
    </xf>
    <xf numFmtId="0" fontId="14" fillId="0" borderId="7" xfId="0" applyFont="1" applyBorder="1" applyAlignment="1">
      <alignment horizontal="center"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9" fillId="0" borderId="1" xfId="0" applyFont="1" applyBorder="1" applyAlignment="1">
      <alignment horizontal="center" vertical="center" wrapText="1"/>
    </xf>
    <xf numFmtId="0" fontId="9" fillId="0" borderId="7" xfId="0" applyFont="1" applyBorder="1" applyAlignment="1">
      <alignment horizontal="center" vertical="center"/>
    </xf>
    <xf numFmtId="0" fontId="9" fillId="0" borderId="8" xfId="0" applyFont="1" applyBorder="1" applyAlignment="1">
      <alignment horizontal="center" vertical="center"/>
    </xf>
    <xf numFmtId="0" fontId="9" fillId="0" borderId="9" xfId="0" applyFont="1" applyBorder="1" applyAlignment="1">
      <alignment horizontal="center" vertical="center"/>
    </xf>
    <xf numFmtId="0" fontId="14" fillId="0" borderId="22" xfId="0" applyFont="1" applyBorder="1" applyAlignment="1">
      <alignment horizontal="center" vertical="center"/>
    </xf>
    <xf numFmtId="0" fontId="14" fillId="0" borderId="23" xfId="0" applyFont="1" applyBorder="1" applyAlignment="1">
      <alignment horizontal="center" vertical="center"/>
    </xf>
    <xf numFmtId="0" fontId="14" fillId="0" borderId="24" xfId="0" applyFont="1" applyBorder="1" applyAlignment="1">
      <alignment horizontal="center" vertical="center"/>
    </xf>
    <xf numFmtId="0" fontId="9" fillId="0" borderId="13" xfId="0" applyFont="1" applyBorder="1" applyAlignment="1">
      <alignment horizontal="center" vertical="center"/>
    </xf>
    <xf numFmtId="0" fontId="10" fillId="0" borderId="4" xfId="1" applyNumberFormat="1" applyFont="1" applyBorder="1" applyAlignment="1">
      <alignment horizontal="center" vertical="center" wrapText="1"/>
    </xf>
    <xf numFmtId="0" fontId="10" fillId="0" borderId="6" xfId="1" applyNumberFormat="1" applyFont="1" applyBorder="1" applyAlignment="1">
      <alignment horizontal="center" vertical="center" wrapText="1"/>
    </xf>
    <xf numFmtId="0" fontId="10" fillId="0" borderId="5" xfId="1" applyNumberFormat="1" applyFont="1" applyBorder="1" applyAlignment="1">
      <alignment horizontal="center" vertical="center" wrapText="1"/>
    </xf>
    <xf numFmtId="43" fontId="10" fillId="0" borderId="2" xfId="1" applyFont="1" applyBorder="1" applyAlignment="1">
      <alignment horizontal="center" vertical="center"/>
    </xf>
    <xf numFmtId="43" fontId="10" fillId="0" borderId="25" xfId="1" applyFont="1" applyBorder="1" applyAlignment="1">
      <alignment horizontal="center" vertical="center"/>
    </xf>
    <xf numFmtId="0" fontId="9" fillId="0" borderId="28" xfId="0" applyFont="1" applyBorder="1" applyAlignment="1">
      <alignment horizontal="center" vertical="center"/>
    </xf>
    <xf numFmtId="0" fontId="9" fillId="0" borderId="29" xfId="0" applyFont="1" applyBorder="1" applyAlignment="1">
      <alignment horizontal="center" vertical="center"/>
    </xf>
    <xf numFmtId="0" fontId="0" fillId="0" borderId="1" xfId="0" applyBorder="1" applyAlignment="1">
      <alignment horizontal="center" vertical="center"/>
    </xf>
    <xf numFmtId="0" fontId="16" fillId="0" borderId="1" xfId="0" applyFont="1" applyBorder="1" applyAlignment="1">
      <alignment horizontal="center" vertical="center"/>
    </xf>
    <xf numFmtId="0" fontId="17" fillId="0" borderId="1" xfId="0" applyFont="1" applyBorder="1" applyAlignment="1">
      <alignment horizontal="center" vertical="center"/>
    </xf>
  </cellXfs>
  <cellStyles count="2">
    <cellStyle name="Comma" xfId="1" builtinId="3"/>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AA8"/>
  <sheetViews>
    <sheetView tabSelected="1" zoomScale="60" zoomScaleNormal="60" workbookViewId="0">
      <selection activeCell="S8" sqref="S8"/>
    </sheetView>
  </sheetViews>
  <sheetFormatPr defaultRowHeight="15"/>
  <cols>
    <col min="1" max="1" width="10.140625" style="12" bestFit="1" customWidth="1"/>
    <col min="2" max="2" width="11.28515625" style="12" customWidth="1"/>
    <col min="3" max="3" width="5.85546875" style="12" bestFit="1" customWidth="1"/>
    <col min="4" max="4" width="16.5703125" style="12" bestFit="1" customWidth="1"/>
    <col min="5" max="5" width="5" style="12" bestFit="1" customWidth="1"/>
    <col min="6" max="6" width="13.140625" style="12" bestFit="1" customWidth="1"/>
    <col min="7" max="7" width="10.7109375" style="12" bestFit="1" customWidth="1"/>
    <col min="8" max="8" width="19.42578125" style="12" customWidth="1"/>
    <col min="9" max="9" width="28.42578125" style="12" bestFit="1" customWidth="1"/>
    <col min="10" max="10" width="22" style="12" customWidth="1"/>
    <col min="11" max="11" width="5.7109375" style="12" bestFit="1" customWidth="1"/>
    <col min="12" max="12" width="20" style="12" customWidth="1"/>
    <col min="13" max="13" width="16" style="12" customWidth="1"/>
    <col min="14" max="14" width="11.140625" style="12" customWidth="1"/>
    <col min="15" max="15" width="20.28515625" style="12" customWidth="1"/>
    <col min="16" max="16" width="13.28515625" style="12" bestFit="1" customWidth="1"/>
    <col min="17" max="17" width="15.85546875" style="12" bestFit="1" customWidth="1"/>
    <col min="18" max="18" width="23.85546875" style="12" customWidth="1"/>
    <col min="19" max="20" width="14.7109375" style="12" customWidth="1"/>
    <col min="21" max="21" width="20" style="12" bestFit="1" customWidth="1"/>
    <col min="22" max="22" width="13.7109375" style="12" bestFit="1" customWidth="1"/>
    <col min="23" max="23" width="10.7109375" style="12" bestFit="1" customWidth="1"/>
    <col min="24" max="24" width="45.85546875" style="12" bestFit="1" customWidth="1"/>
    <col min="25" max="25" width="9.42578125" style="12" bestFit="1" customWidth="1"/>
    <col min="26" max="26" width="34.140625" style="12" bestFit="1" customWidth="1"/>
    <col min="27" max="27" width="25.85546875" style="12" bestFit="1" customWidth="1"/>
    <col min="28" max="16384" width="9.140625" style="12"/>
  </cols>
  <sheetData>
    <row r="1" spans="1:27" s="5" customFormat="1" ht="29.25" customHeight="1">
      <c r="A1" s="102" t="s">
        <v>7</v>
      </c>
      <c r="B1" s="102" t="s">
        <v>8</v>
      </c>
      <c r="C1" s="102" t="s">
        <v>9</v>
      </c>
      <c r="D1" s="102" t="s">
        <v>10</v>
      </c>
      <c r="E1" s="102" t="s">
        <v>11</v>
      </c>
      <c r="F1" s="107" t="s">
        <v>12</v>
      </c>
      <c r="G1" s="108"/>
      <c r="H1" s="102" t="s">
        <v>13</v>
      </c>
      <c r="I1" s="102" t="s">
        <v>14</v>
      </c>
      <c r="J1" s="103"/>
      <c r="K1" s="103"/>
      <c r="L1" s="102" t="s">
        <v>15</v>
      </c>
      <c r="M1" s="102" t="s">
        <v>16</v>
      </c>
      <c r="N1" s="102" t="s">
        <v>17</v>
      </c>
      <c r="O1" s="102" t="s">
        <v>18</v>
      </c>
      <c r="P1" s="102" t="s">
        <v>19</v>
      </c>
      <c r="Q1" s="102" t="s">
        <v>20</v>
      </c>
      <c r="R1" s="102" t="s">
        <v>21</v>
      </c>
      <c r="S1" s="104" t="s">
        <v>22</v>
      </c>
      <c r="T1" s="2" t="s">
        <v>23</v>
      </c>
      <c r="U1" s="104" t="s">
        <v>36</v>
      </c>
      <c r="V1" s="102" t="s">
        <v>24</v>
      </c>
      <c r="W1" s="104" t="s">
        <v>25</v>
      </c>
      <c r="X1" s="104" t="s">
        <v>26</v>
      </c>
      <c r="Y1" s="104" t="s">
        <v>27</v>
      </c>
      <c r="Z1" s="2" t="s">
        <v>28</v>
      </c>
      <c r="AA1" s="102" t="s">
        <v>29</v>
      </c>
    </row>
    <row r="2" spans="1:27" s="5" customFormat="1" ht="42.75" customHeight="1">
      <c r="A2" s="103"/>
      <c r="B2" s="103"/>
      <c r="C2" s="103"/>
      <c r="D2" s="103"/>
      <c r="E2" s="103"/>
      <c r="F2" s="3" t="s">
        <v>30</v>
      </c>
      <c r="G2" s="3" t="s">
        <v>31</v>
      </c>
      <c r="H2" s="103"/>
      <c r="I2" s="3" t="s">
        <v>32</v>
      </c>
      <c r="J2" s="3" t="s">
        <v>33</v>
      </c>
      <c r="K2" s="3" t="s">
        <v>34</v>
      </c>
      <c r="L2" s="103"/>
      <c r="M2" s="103"/>
      <c r="N2" s="103"/>
      <c r="O2" s="103"/>
      <c r="P2" s="103"/>
      <c r="Q2" s="103"/>
      <c r="R2" s="103"/>
      <c r="S2" s="105"/>
      <c r="T2" s="4" t="s">
        <v>35</v>
      </c>
      <c r="U2" s="105"/>
      <c r="V2" s="102"/>
      <c r="W2" s="105"/>
      <c r="X2" s="105"/>
      <c r="Y2" s="105"/>
      <c r="Z2" s="4" t="s">
        <v>37</v>
      </c>
      <c r="AA2" s="103"/>
    </row>
    <row r="3" spans="1:27" s="5" customFormat="1" ht="30">
      <c r="A3" s="106" t="s">
        <v>0</v>
      </c>
      <c r="B3" s="106" t="s">
        <v>1</v>
      </c>
      <c r="C3" s="1">
        <v>99</v>
      </c>
      <c r="D3" s="6" t="s">
        <v>2</v>
      </c>
      <c r="E3" s="7"/>
      <c r="F3" s="7"/>
      <c r="G3" s="7"/>
      <c r="H3" s="7">
        <v>40.020000000000003</v>
      </c>
      <c r="I3" s="7"/>
      <c r="J3" s="7">
        <v>23</v>
      </c>
      <c r="K3" s="7"/>
      <c r="L3" s="7">
        <v>57.5</v>
      </c>
      <c r="M3" s="7">
        <v>11.13</v>
      </c>
      <c r="N3" s="7"/>
      <c r="O3" s="7">
        <v>17.28</v>
      </c>
      <c r="P3" s="7">
        <v>69</v>
      </c>
      <c r="Q3" s="7">
        <v>2.16</v>
      </c>
      <c r="R3" s="7"/>
      <c r="S3" s="7">
        <f>SUM(H3:R3)</f>
        <v>220.09</v>
      </c>
      <c r="T3" s="7"/>
      <c r="U3" s="7"/>
      <c r="V3" s="7"/>
      <c r="W3" s="8"/>
      <c r="X3" s="8"/>
      <c r="Y3" s="8"/>
      <c r="Z3" s="8"/>
      <c r="AA3" s="8"/>
    </row>
    <row r="4" spans="1:27" s="5" customFormat="1" ht="30">
      <c r="A4" s="106"/>
      <c r="B4" s="106"/>
      <c r="C4" s="1">
        <v>100</v>
      </c>
      <c r="D4" s="6" t="s">
        <v>3</v>
      </c>
      <c r="E4" s="7"/>
      <c r="F4" s="7"/>
      <c r="G4" s="7"/>
      <c r="H4" s="7">
        <v>249.26</v>
      </c>
      <c r="I4" s="7"/>
      <c r="J4" s="7">
        <v>99.5</v>
      </c>
      <c r="K4" s="7"/>
      <c r="L4" s="7"/>
      <c r="M4" s="7">
        <v>10.35</v>
      </c>
      <c r="N4" s="7"/>
      <c r="O4" s="7"/>
      <c r="P4" s="7">
        <v>120.5</v>
      </c>
      <c r="Q4" s="7"/>
      <c r="R4" s="7"/>
      <c r="S4" s="7">
        <f t="shared" ref="S4:S7" si="0">SUM(H4:R4)</f>
        <v>479.61</v>
      </c>
      <c r="T4" s="7"/>
      <c r="U4" s="7"/>
      <c r="V4" s="7"/>
      <c r="W4" s="8"/>
      <c r="X4" s="8"/>
      <c r="Y4" s="8"/>
      <c r="Z4" s="8"/>
      <c r="AA4" s="8"/>
    </row>
    <row r="5" spans="1:27" s="5" customFormat="1" ht="30">
      <c r="A5" s="106"/>
      <c r="B5" s="106"/>
      <c r="C5" s="1">
        <v>101</v>
      </c>
      <c r="D5" s="1" t="s">
        <v>4</v>
      </c>
      <c r="E5" s="7"/>
      <c r="F5" s="7"/>
      <c r="G5" s="7"/>
      <c r="H5" s="7"/>
      <c r="I5" s="7"/>
      <c r="J5" s="7"/>
      <c r="K5" s="7"/>
      <c r="L5" s="7"/>
      <c r="M5" s="7"/>
      <c r="N5" s="7"/>
      <c r="O5" s="7"/>
      <c r="P5" s="7"/>
      <c r="Q5" s="7"/>
      <c r="R5" s="7"/>
      <c r="S5" s="7">
        <f t="shared" si="0"/>
        <v>0</v>
      </c>
      <c r="T5" s="7"/>
      <c r="U5" s="7"/>
      <c r="V5" s="7"/>
      <c r="W5" s="8"/>
      <c r="X5" s="8"/>
      <c r="Y5" s="8"/>
      <c r="Z5" s="8"/>
      <c r="AA5" s="8"/>
    </row>
    <row r="6" spans="1:27" s="11" customFormat="1" ht="45">
      <c r="A6" s="106"/>
      <c r="B6" s="106"/>
      <c r="C6" s="1">
        <v>102</v>
      </c>
      <c r="D6" s="1" t="s">
        <v>5</v>
      </c>
      <c r="E6" s="9"/>
      <c r="F6" s="9"/>
      <c r="G6" s="9"/>
      <c r="H6" s="9"/>
      <c r="I6" s="9"/>
      <c r="J6" s="9"/>
      <c r="K6" s="9"/>
      <c r="L6" s="9"/>
      <c r="M6" s="9"/>
      <c r="N6" s="9"/>
      <c r="O6" s="9"/>
      <c r="P6" s="9"/>
      <c r="Q6" s="9"/>
      <c r="R6" s="9">
        <v>12.6</v>
      </c>
      <c r="S6" s="7">
        <f t="shared" si="0"/>
        <v>12.6</v>
      </c>
      <c r="T6" s="7"/>
      <c r="U6" s="7"/>
      <c r="V6" s="9"/>
      <c r="W6" s="10"/>
      <c r="X6" s="10"/>
      <c r="Y6" s="10"/>
      <c r="Z6" s="10"/>
      <c r="AA6" s="10"/>
    </row>
    <row r="7" spans="1:27" s="5" customFormat="1" ht="45">
      <c r="A7" s="106"/>
      <c r="B7" s="106"/>
      <c r="C7" s="1">
        <v>103</v>
      </c>
      <c r="D7" s="1" t="s">
        <v>6</v>
      </c>
      <c r="E7" s="7"/>
      <c r="F7" s="7"/>
      <c r="G7" s="7"/>
      <c r="H7" s="7"/>
      <c r="I7" s="7"/>
      <c r="J7" s="7"/>
      <c r="K7" s="7"/>
      <c r="L7" s="7"/>
      <c r="M7" s="7"/>
      <c r="N7" s="7"/>
      <c r="O7" s="7"/>
      <c r="P7" s="7"/>
      <c r="Q7" s="7"/>
      <c r="R7" s="7">
        <v>161</v>
      </c>
      <c r="S7" s="7">
        <f t="shared" si="0"/>
        <v>161</v>
      </c>
      <c r="T7" s="7"/>
      <c r="U7" s="7"/>
      <c r="V7" s="7"/>
      <c r="W7" s="8"/>
      <c r="X7" s="8"/>
      <c r="Y7" s="8"/>
      <c r="Z7" s="8"/>
      <c r="AA7" s="8"/>
    </row>
    <row r="8" spans="1:27" ht="69.75" customHeight="1">
      <c r="A8" s="141"/>
      <c r="B8" s="141"/>
      <c r="C8" s="141"/>
      <c r="D8" s="141"/>
      <c r="E8" s="141"/>
      <c r="F8" s="141"/>
      <c r="G8" s="141"/>
      <c r="H8" s="141"/>
      <c r="I8" s="141"/>
      <c r="J8" s="141"/>
      <c r="K8" s="141"/>
      <c r="L8" s="141"/>
      <c r="M8" s="141"/>
      <c r="N8" s="141"/>
      <c r="O8" s="141"/>
      <c r="P8" s="141"/>
      <c r="Q8" s="141"/>
      <c r="R8" s="141"/>
      <c r="S8" s="143">
        <f>SUM(S3:S7)</f>
        <v>873.30000000000007</v>
      </c>
      <c r="T8" s="141"/>
      <c r="U8" s="141"/>
      <c r="V8" s="141"/>
      <c r="W8" s="141"/>
    </row>
  </sheetData>
  <mergeCells count="24">
    <mergeCell ref="L1:L2"/>
    <mergeCell ref="A3:A7"/>
    <mergeCell ref="B3:B7"/>
    <mergeCell ref="A1:A2"/>
    <mergeCell ref="B1:B2"/>
    <mergeCell ref="C1:C2"/>
    <mergeCell ref="D1:D2"/>
    <mergeCell ref="E1:E2"/>
    <mergeCell ref="F1:G1"/>
    <mergeCell ref="H1:H2"/>
    <mergeCell ref="I1:K1"/>
    <mergeCell ref="AA1:AA2"/>
    <mergeCell ref="M1:M2"/>
    <mergeCell ref="N1:N2"/>
    <mergeCell ref="O1:O2"/>
    <mergeCell ref="P1:P2"/>
    <mergeCell ref="Q1:Q2"/>
    <mergeCell ref="R1:R2"/>
    <mergeCell ref="U1:U2"/>
    <mergeCell ref="S1:S2"/>
    <mergeCell ref="V1:V2"/>
    <mergeCell ref="W1:W2"/>
    <mergeCell ref="X1:X2"/>
    <mergeCell ref="Y1:Y2"/>
  </mergeCell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F28"/>
  <sheetViews>
    <sheetView zoomScale="60" zoomScaleNormal="60" workbookViewId="0">
      <selection activeCell="C8" sqref="C8"/>
    </sheetView>
  </sheetViews>
  <sheetFormatPr defaultColWidth="36.140625" defaultRowHeight="48.75" customHeight="1"/>
  <cols>
    <col min="1" max="1" width="8.140625" style="35" customWidth="1"/>
    <col min="2" max="2" width="17.28515625" style="40" customWidth="1"/>
    <col min="3" max="3" width="35.140625" style="37" customWidth="1"/>
    <col min="4" max="4" width="106.42578125" style="36" customWidth="1"/>
    <col min="5" max="5" width="17.140625" style="43" customWidth="1"/>
    <col min="6" max="6" width="18" style="43" customWidth="1"/>
    <col min="7" max="16384" width="36.140625" style="35"/>
  </cols>
  <sheetData>
    <row r="1" spans="1:6" ht="66" customHeight="1">
      <c r="A1" s="34" t="s">
        <v>38</v>
      </c>
      <c r="B1" s="34" t="s">
        <v>39</v>
      </c>
      <c r="C1" s="34" t="s">
        <v>40</v>
      </c>
      <c r="D1" s="34" t="s">
        <v>143</v>
      </c>
      <c r="E1" s="41" t="s">
        <v>41</v>
      </c>
      <c r="F1" s="41" t="s">
        <v>42</v>
      </c>
    </row>
    <row r="2" spans="1:6" ht="66.75" customHeight="1">
      <c r="A2" s="109">
        <v>99</v>
      </c>
      <c r="B2" s="109" t="s">
        <v>2</v>
      </c>
      <c r="C2" s="34" t="s">
        <v>13</v>
      </c>
      <c r="D2" s="36" t="s">
        <v>102</v>
      </c>
      <c r="E2" s="42">
        <f>1.74*23</f>
        <v>40.020000000000003</v>
      </c>
      <c r="F2" s="42" t="s">
        <v>82</v>
      </c>
    </row>
    <row r="3" spans="1:6" ht="46.5" customHeight="1">
      <c r="A3" s="110"/>
      <c r="B3" s="110"/>
      <c r="C3" s="34" t="s">
        <v>33</v>
      </c>
      <c r="D3" s="36" t="s">
        <v>103</v>
      </c>
      <c r="E3" s="42">
        <f>1*23</f>
        <v>23</v>
      </c>
      <c r="F3" s="42">
        <f>1.5*23</f>
        <v>34.5</v>
      </c>
    </row>
    <row r="4" spans="1:6" ht="68.25" customHeight="1">
      <c r="A4" s="110"/>
      <c r="B4" s="110"/>
      <c r="C4" s="34" t="s">
        <v>43</v>
      </c>
      <c r="D4" s="36" t="s">
        <v>105</v>
      </c>
      <c r="E4" s="42">
        <f>2.5*23</f>
        <v>57.5</v>
      </c>
      <c r="F4" s="42">
        <f>3*23</f>
        <v>69</v>
      </c>
    </row>
    <row r="5" spans="1:6" ht="91.5" customHeight="1">
      <c r="A5" s="110"/>
      <c r="B5" s="110"/>
      <c r="C5" s="34" t="s">
        <v>18</v>
      </c>
      <c r="D5" s="36" t="s">
        <v>144</v>
      </c>
      <c r="E5" s="42">
        <v>17.28</v>
      </c>
      <c r="F5" s="42">
        <v>17.28</v>
      </c>
    </row>
    <row r="6" spans="1:6" ht="132" customHeight="1">
      <c r="A6" s="110"/>
      <c r="B6" s="110"/>
      <c r="C6" s="34" t="s">
        <v>16</v>
      </c>
      <c r="D6" s="36" t="s">
        <v>148</v>
      </c>
      <c r="E6" s="42">
        <f>2+9.129</f>
        <v>11.129</v>
      </c>
      <c r="F6" s="42">
        <v>9.1289999999999996</v>
      </c>
    </row>
    <row r="7" spans="1:6" ht="59.25" customHeight="1">
      <c r="A7" s="110"/>
      <c r="B7" s="110"/>
      <c r="C7" s="34" t="s">
        <v>19</v>
      </c>
      <c r="D7" s="36" t="s">
        <v>89</v>
      </c>
      <c r="E7" s="42">
        <f>3*23</f>
        <v>69</v>
      </c>
      <c r="F7" s="42">
        <f>4*23</f>
        <v>92</v>
      </c>
    </row>
    <row r="8" spans="1:6" ht="117.75" customHeight="1">
      <c r="A8" s="110"/>
      <c r="B8" s="110"/>
      <c r="C8" s="34" t="s">
        <v>20</v>
      </c>
      <c r="D8" s="36" t="s">
        <v>151</v>
      </c>
      <c r="E8" s="42">
        <f>1.079+1.079</f>
        <v>2.1579999999999999</v>
      </c>
      <c r="F8" s="42">
        <f>1.079+1.079</f>
        <v>2.1579999999999999</v>
      </c>
    </row>
    <row r="9" spans="1:6" ht="60.75" hidden="1">
      <c r="A9" s="111"/>
      <c r="B9" s="111"/>
      <c r="C9" s="34" t="s">
        <v>21</v>
      </c>
      <c r="E9" s="42"/>
      <c r="F9" s="42"/>
    </row>
    <row r="10" spans="1:6" ht="106.5" customHeight="1">
      <c r="A10" s="109">
        <v>100</v>
      </c>
      <c r="B10" s="109" t="s">
        <v>3</v>
      </c>
      <c r="C10" s="34" t="s">
        <v>13</v>
      </c>
      <c r="D10" s="36" t="s">
        <v>129</v>
      </c>
      <c r="E10" s="42">
        <v>249.26</v>
      </c>
      <c r="F10" s="42">
        <v>1.74</v>
      </c>
    </row>
    <row r="11" spans="1:6" ht="48.75" customHeight="1">
      <c r="A11" s="110"/>
      <c r="B11" s="110"/>
      <c r="C11" s="34" t="s">
        <v>33</v>
      </c>
      <c r="D11" s="36" t="s">
        <v>104</v>
      </c>
      <c r="E11" s="43">
        <f>0.5*199</f>
        <v>99.5</v>
      </c>
      <c r="F11" s="43">
        <f>0.5*199</f>
        <v>99.5</v>
      </c>
    </row>
    <row r="12" spans="1:6" ht="67.5" hidden="1" customHeight="1">
      <c r="A12" s="110"/>
      <c r="B12" s="110"/>
      <c r="C12" s="34" t="s">
        <v>43</v>
      </c>
      <c r="D12" s="34"/>
    </row>
    <row r="13" spans="1:6" ht="48.75" hidden="1" customHeight="1">
      <c r="A13" s="110"/>
      <c r="B13" s="110"/>
      <c r="C13" s="34" t="s">
        <v>18</v>
      </c>
    </row>
    <row r="14" spans="1:6" ht="71.25" customHeight="1">
      <c r="A14" s="110"/>
      <c r="B14" s="110"/>
      <c r="C14" s="34" t="s">
        <v>16</v>
      </c>
      <c r="D14" s="36" t="s">
        <v>130</v>
      </c>
      <c r="E14" s="43">
        <v>10.351000000000001</v>
      </c>
      <c r="F14" s="43">
        <f>10.351</f>
        <v>10.351000000000001</v>
      </c>
    </row>
    <row r="15" spans="1:6" ht="48.75" customHeight="1">
      <c r="A15" s="110"/>
      <c r="B15" s="110"/>
      <c r="C15" s="34" t="s">
        <v>19</v>
      </c>
      <c r="D15" s="36" t="s">
        <v>146</v>
      </c>
      <c r="E15" s="43">
        <v>120.5</v>
      </c>
      <c r="F15" s="43">
        <v>160.5</v>
      </c>
    </row>
    <row r="16" spans="1:6" ht="48.75" hidden="1" customHeight="1">
      <c r="A16" s="110"/>
      <c r="B16" s="110"/>
      <c r="C16" s="34" t="s">
        <v>20</v>
      </c>
    </row>
    <row r="17" spans="1:6" ht="77.25" hidden="1" customHeight="1">
      <c r="A17" s="111"/>
      <c r="B17" s="111"/>
      <c r="C17" s="34" t="s">
        <v>21</v>
      </c>
    </row>
    <row r="18" spans="1:6" ht="60.75" hidden="1">
      <c r="A18" s="109">
        <v>101</v>
      </c>
      <c r="B18" s="109" t="s">
        <v>4</v>
      </c>
      <c r="C18" s="34" t="s">
        <v>13</v>
      </c>
    </row>
    <row r="19" spans="1:6" ht="40.5" hidden="1">
      <c r="A19" s="110"/>
      <c r="B19" s="110"/>
      <c r="C19" s="34" t="s">
        <v>33</v>
      </c>
    </row>
    <row r="20" spans="1:6" ht="60.75" hidden="1">
      <c r="A20" s="110"/>
      <c r="B20" s="110"/>
      <c r="C20" s="34" t="s">
        <v>43</v>
      </c>
    </row>
    <row r="21" spans="1:6" ht="40.5" hidden="1">
      <c r="A21" s="110"/>
      <c r="B21" s="110"/>
      <c r="C21" s="34" t="s">
        <v>18</v>
      </c>
    </row>
    <row r="22" spans="1:6" ht="40.5" hidden="1">
      <c r="A22" s="110"/>
      <c r="B22" s="110"/>
      <c r="C22" s="34" t="s">
        <v>16</v>
      </c>
    </row>
    <row r="23" spans="1:6" ht="48.75" hidden="1" customHeight="1">
      <c r="A23" s="110"/>
      <c r="B23" s="110"/>
      <c r="C23" s="34" t="s">
        <v>19</v>
      </c>
    </row>
    <row r="24" spans="1:6" ht="48.75" hidden="1" customHeight="1">
      <c r="A24" s="110"/>
      <c r="B24" s="110"/>
      <c r="C24" s="34" t="s">
        <v>20</v>
      </c>
    </row>
    <row r="25" spans="1:6" ht="48.75" hidden="1" customHeight="1">
      <c r="A25" s="111"/>
      <c r="B25" s="111"/>
      <c r="C25" s="34" t="s">
        <v>21</v>
      </c>
    </row>
    <row r="26" spans="1:6" ht="75" customHeight="1">
      <c r="A26" s="38">
        <v>102</v>
      </c>
      <c r="B26" s="39" t="s">
        <v>5</v>
      </c>
      <c r="D26" s="36" t="s">
        <v>113</v>
      </c>
      <c r="E26" s="43">
        <v>12.6</v>
      </c>
      <c r="F26" s="43">
        <v>12.6</v>
      </c>
    </row>
    <row r="27" spans="1:6" ht="189.75" customHeight="1">
      <c r="A27" s="38">
        <v>103</v>
      </c>
      <c r="B27" s="39" t="s">
        <v>6</v>
      </c>
      <c r="D27" s="36" t="s">
        <v>125</v>
      </c>
      <c r="E27" s="42">
        <f>Calculation!J51</f>
        <v>161</v>
      </c>
      <c r="F27" s="42">
        <f>Calculation!K51</f>
        <v>162.00000000000003</v>
      </c>
    </row>
    <row r="28" spans="1:6" ht="48.75" customHeight="1">
      <c r="A28" s="45"/>
      <c r="B28" s="45"/>
      <c r="C28" s="46"/>
      <c r="D28" s="46"/>
      <c r="E28" s="47">
        <f>SUM(E2:E27)</f>
        <v>873.298</v>
      </c>
      <c r="F28" s="47">
        <f>SUM(F2:F27)</f>
        <v>670.75800000000004</v>
      </c>
    </row>
  </sheetData>
  <mergeCells count="6">
    <mergeCell ref="B2:B9"/>
    <mergeCell ref="A2:A9"/>
    <mergeCell ref="B10:B17"/>
    <mergeCell ref="A10:A17"/>
    <mergeCell ref="B18:B25"/>
    <mergeCell ref="A18:A25"/>
  </mergeCells>
  <pageMargins left="0.70866141732283472" right="0.70866141732283472" top="0.74803149606299213" bottom="0.74803149606299213" header="0.31496062992125984" footer="0.31496062992125984"/>
  <pageSetup paperSize="5" scale="79" orientation="landscape" verticalDpi="0" r:id="rId1"/>
  <rowBreaks count="1" manualBreakCount="1">
    <brk id="9" max="5" man="1"/>
  </rowBreaks>
</worksheet>
</file>

<file path=xl/worksheets/sheet3.xml><?xml version="1.0" encoding="utf-8"?>
<worksheet xmlns="http://schemas.openxmlformats.org/spreadsheetml/2006/main" xmlns:r="http://schemas.openxmlformats.org/officeDocument/2006/relationships">
  <dimension ref="A1:X59"/>
  <sheetViews>
    <sheetView view="pageBreakPreview" topLeftCell="A40" zoomScale="60" zoomScaleNormal="70" workbookViewId="0">
      <selection activeCell="C38" sqref="C38"/>
    </sheetView>
  </sheetViews>
  <sheetFormatPr defaultRowHeight="24.75" customHeight="1"/>
  <cols>
    <col min="1" max="1" width="10.42578125" style="13" bestFit="1" customWidth="1"/>
    <col min="2" max="2" width="24.5703125" style="27" customWidth="1"/>
    <col min="3" max="3" width="13.7109375" style="13" customWidth="1"/>
    <col min="4" max="4" width="17.140625" style="15" bestFit="1" customWidth="1"/>
    <col min="5" max="5" width="20.5703125" style="13" customWidth="1"/>
    <col min="6" max="6" width="13.5703125" style="13" bestFit="1" customWidth="1"/>
    <col min="7" max="7" width="21.140625" style="15" customWidth="1"/>
    <col min="8" max="8" width="23.5703125" style="15" customWidth="1"/>
    <col min="9" max="9" width="24" style="16" customWidth="1"/>
    <col min="10" max="10" width="14.28515625" style="16" bestFit="1" customWidth="1"/>
    <col min="11" max="11" width="21.7109375" style="16" customWidth="1"/>
    <col min="12" max="24" width="9.140625" style="16"/>
    <col min="25" max="16384" width="9.140625" style="13"/>
  </cols>
  <sheetData>
    <row r="1" spans="1:24" ht="24.75" customHeight="1">
      <c r="D1" s="79" t="s">
        <v>63</v>
      </c>
      <c r="E1" s="80">
        <v>23</v>
      </c>
      <c r="F1" s="14"/>
    </row>
    <row r="2" spans="1:24" ht="24.75" customHeight="1">
      <c r="D2" s="81" t="s">
        <v>64</v>
      </c>
      <c r="E2" s="78">
        <v>41</v>
      </c>
      <c r="F2" s="14"/>
    </row>
    <row r="3" spans="1:24" ht="24.75" customHeight="1">
      <c r="D3" s="81" t="s">
        <v>65</v>
      </c>
      <c r="E3" s="78">
        <v>158</v>
      </c>
      <c r="F3" s="14"/>
    </row>
    <row r="4" spans="1:24" ht="24.75" customHeight="1" thickBot="1">
      <c r="D4" s="55" t="s">
        <v>66</v>
      </c>
      <c r="E4" s="89">
        <v>510</v>
      </c>
      <c r="F4" s="14"/>
    </row>
    <row r="5" spans="1:24" ht="24.75" customHeight="1">
      <c r="A5" s="112" t="s">
        <v>69</v>
      </c>
      <c r="B5" s="113"/>
      <c r="C5" s="113"/>
      <c r="D5" s="113"/>
      <c r="E5" s="113"/>
      <c r="F5" s="113"/>
      <c r="G5" s="113"/>
      <c r="H5" s="113"/>
      <c r="I5" s="114"/>
    </row>
    <row r="6" spans="1:24" s="17" customFormat="1" ht="24.75" customHeight="1">
      <c r="A6" s="116" t="s">
        <v>59</v>
      </c>
      <c r="B6" s="115"/>
      <c r="C6" s="115" t="s">
        <v>60</v>
      </c>
      <c r="D6" s="115"/>
      <c r="E6" s="115"/>
      <c r="F6" s="117" t="s">
        <v>67</v>
      </c>
      <c r="G6" s="118"/>
      <c r="H6" s="115" t="s">
        <v>68</v>
      </c>
      <c r="I6" s="119"/>
      <c r="J6" s="14"/>
      <c r="K6" s="14"/>
      <c r="L6" s="16"/>
      <c r="M6" s="16"/>
      <c r="N6" s="14"/>
      <c r="O6" s="14"/>
      <c r="P6" s="14"/>
      <c r="Q6" s="14"/>
      <c r="R6" s="14"/>
      <c r="S6" s="14"/>
      <c r="T6" s="14"/>
      <c r="U6" s="14"/>
      <c r="V6" s="14"/>
      <c r="W6" s="14"/>
      <c r="X6" s="14"/>
    </row>
    <row r="7" spans="1:24" s="33" customFormat="1" ht="45.75" customHeight="1">
      <c r="A7" s="68" t="s">
        <v>44</v>
      </c>
      <c r="B7" s="28" t="s">
        <v>45</v>
      </c>
      <c r="C7" s="28" t="s">
        <v>46</v>
      </c>
      <c r="D7" s="30" t="s">
        <v>47</v>
      </c>
      <c r="E7" s="31" t="s">
        <v>58</v>
      </c>
      <c r="F7" s="26" t="s">
        <v>48</v>
      </c>
      <c r="G7" s="31" t="s">
        <v>49</v>
      </c>
      <c r="H7" s="26" t="s">
        <v>48</v>
      </c>
      <c r="I7" s="69" t="s">
        <v>49</v>
      </c>
      <c r="J7" s="32"/>
      <c r="K7" s="32"/>
      <c r="L7" s="16"/>
      <c r="M7" s="16"/>
      <c r="N7" s="32"/>
      <c r="O7" s="32"/>
      <c r="P7" s="32"/>
      <c r="Q7" s="32"/>
      <c r="R7" s="32"/>
      <c r="S7" s="32"/>
      <c r="T7" s="32"/>
      <c r="U7" s="32"/>
      <c r="V7" s="32"/>
      <c r="W7" s="32"/>
      <c r="X7" s="32"/>
    </row>
    <row r="8" spans="1:24" ht="24.75" customHeight="1">
      <c r="A8" s="53">
        <v>1</v>
      </c>
      <c r="B8" s="23" t="s">
        <v>55</v>
      </c>
      <c r="C8" s="19">
        <v>1</v>
      </c>
      <c r="D8" s="20">
        <v>15000</v>
      </c>
      <c r="E8" s="20">
        <f>D8*C8</f>
        <v>15000</v>
      </c>
      <c r="F8" s="19">
        <f>99*C8</f>
        <v>99</v>
      </c>
      <c r="G8" s="20">
        <f>D8*F8</f>
        <v>1485000</v>
      </c>
      <c r="H8" s="19">
        <f>100*C8</f>
        <v>100</v>
      </c>
      <c r="I8" s="70">
        <f>H8*D8</f>
        <v>1500000</v>
      </c>
    </row>
    <row r="9" spans="1:24" ht="24.75" customHeight="1">
      <c r="A9" s="53">
        <v>2</v>
      </c>
      <c r="B9" s="23" t="s">
        <v>50</v>
      </c>
      <c r="C9" s="19">
        <v>1</v>
      </c>
      <c r="D9" s="20">
        <v>25000</v>
      </c>
      <c r="E9" s="20">
        <f t="shared" ref="E9:E12" si="0">D9*C9</f>
        <v>25000</v>
      </c>
      <c r="F9" s="19">
        <f t="shared" ref="F9:F12" si="1">99*C9</f>
        <v>99</v>
      </c>
      <c r="G9" s="20">
        <f>D9*F9</f>
        <v>2475000</v>
      </c>
      <c r="H9" s="19">
        <f t="shared" ref="H9:H12" si="2">100*C9</f>
        <v>100</v>
      </c>
      <c r="I9" s="70">
        <f t="shared" ref="I9:I12" si="3">H9*D9</f>
        <v>2500000</v>
      </c>
    </row>
    <row r="10" spans="1:24" ht="24.75" customHeight="1">
      <c r="A10" s="53">
        <v>3</v>
      </c>
      <c r="B10" s="23" t="s">
        <v>56</v>
      </c>
      <c r="C10" s="19">
        <v>1</v>
      </c>
      <c r="D10" s="20">
        <v>25000</v>
      </c>
      <c r="E10" s="20">
        <f t="shared" si="0"/>
        <v>25000</v>
      </c>
      <c r="F10" s="19">
        <f t="shared" si="1"/>
        <v>99</v>
      </c>
      <c r="G10" s="20">
        <f>D10*F10</f>
        <v>2475000</v>
      </c>
      <c r="H10" s="19">
        <f t="shared" si="2"/>
        <v>100</v>
      </c>
      <c r="I10" s="70">
        <f t="shared" si="3"/>
        <v>2500000</v>
      </c>
    </row>
    <row r="11" spans="1:24" ht="24.75" customHeight="1">
      <c r="A11" s="53">
        <v>4</v>
      </c>
      <c r="B11" s="23" t="s">
        <v>57</v>
      </c>
      <c r="C11" s="19">
        <v>2</v>
      </c>
      <c r="D11" s="20">
        <v>1000</v>
      </c>
      <c r="E11" s="20">
        <f t="shared" si="0"/>
        <v>2000</v>
      </c>
      <c r="F11" s="19">
        <f t="shared" si="1"/>
        <v>198</v>
      </c>
      <c r="G11" s="20">
        <f>D11*F11</f>
        <v>198000</v>
      </c>
      <c r="H11" s="19">
        <f t="shared" si="2"/>
        <v>200</v>
      </c>
      <c r="I11" s="70">
        <f t="shared" si="3"/>
        <v>200000</v>
      </c>
    </row>
    <row r="12" spans="1:24" ht="39.75" customHeight="1">
      <c r="A12" s="53">
        <v>5</v>
      </c>
      <c r="B12" s="23" t="s">
        <v>51</v>
      </c>
      <c r="C12" s="19">
        <v>1</v>
      </c>
      <c r="D12" s="20">
        <v>10000</v>
      </c>
      <c r="E12" s="20">
        <f t="shared" si="0"/>
        <v>10000</v>
      </c>
      <c r="F12" s="19">
        <f t="shared" si="1"/>
        <v>99</v>
      </c>
      <c r="G12" s="20">
        <f>D12*F12</f>
        <v>990000</v>
      </c>
      <c r="H12" s="19">
        <f t="shared" si="2"/>
        <v>100</v>
      </c>
      <c r="I12" s="70">
        <f t="shared" si="3"/>
        <v>1000000</v>
      </c>
    </row>
    <row r="13" spans="1:24" s="17" customFormat="1" ht="24.75" customHeight="1" thickBot="1">
      <c r="A13" s="55"/>
      <c r="B13" s="120" t="s">
        <v>61</v>
      </c>
      <c r="C13" s="121"/>
      <c r="D13" s="122"/>
      <c r="E13" s="58">
        <f>SUM(E8:E12)</f>
        <v>77000</v>
      </c>
      <c r="F13" s="71">
        <f>SUM(F8:F12)</f>
        <v>594</v>
      </c>
      <c r="G13" s="58">
        <f>SUM(G8:G12)</f>
        <v>7623000</v>
      </c>
      <c r="H13" s="57">
        <f>SUM(H8:H12)</f>
        <v>600</v>
      </c>
      <c r="I13" s="72">
        <f>SUM(I8:I12)</f>
        <v>7700000</v>
      </c>
      <c r="J13" s="14"/>
      <c r="K13" s="14"/>
      <c r="L13" s="14"/>
      <c r="M13" s="14"/>
      <c r="N13" s="14"/>
      <c r="O13" s="14"/>
      <c r="P13" s="14"/>
      <c r="Q13" s="14"/>
      <c r="R13" s="14"/>
      <c r="S13" s="14"/>
      <c r="T13" s="14"/>
      <c r="U13" s="14"/>
      <c r="V13" s="14"/>
      <c r="W13" s="14"/>
      <c r="X13" s="14"/>
    </row>
    <row r="14" spans="1:24" ht="24.75" customHeight="1" thickBot="1">
      <c r="A14" s="16"/>
      <c r="B14" s="29"/>
      <c r="C14" s="16"/>
      <c r="D14" s="22"/>
      <c r="E14" s="16"/>
      <c r="F14" s="16"/>
      <c r="G14" s="22"/>
      <c r="H14" s="22"/>
    </row>
    <row r="15" spans="1:24" s="14" customFormat="1" ht="24.75" customHeight="1">
      <c r="A15" s="127" t="s">
        <v>62</v>
      </c>
      <c r="B15" s="128"/>
      <c r="C15" s="128"/>
      <c r="D15" s="128"/>
      <c r="E15" s="128"/>
      <c r="F15" s="128"/>
      <c r="G15" s="128"/>
      <c r="H15" s="128"/>
      <c r="I15" s="128"/>
      <c r="J15" s="128"/>
      <c r="K15" s="129"/>
    </row>
    <row r="16" spans="1:24" s="14" customFormat="1" ht="24.75" customHeight="1">
      <c r="A16" s="51"/>
      <c r="B16" s="26"/>
      <c r="C16" s="49"/>
      <c r="D16" s="49"/>
      <c r="E16" s="49"/>
      <c r="F16" s="115" t="s">
        <v>70</v>
      </c>
      <c r="G16" s="115"/>
      <c r="H16" s="115" t="s">
        <v>71</v>
      </c>
      <c r="I16" s="115"/>
      <c r="J16" s="115" t="s">
        <v>72</v>
      </c>
      <c r="K16" s="119"/>
    </row>
    <row r="17" spans="1:24" s="29" customFormat="1" ht="57" customHeight="1">
      <c r="A17" s="62" t="s">
        <v>44</v>
      </c>
      <c r="B17" s="26" t="s">
        <v>45</v>
      </c>
      <c r="C17" s="26" t="s">
        <v>46</v>
      </c>
      <c r="D17" s="31" t="s">
        <v>47</v>
      </c>
      <c r="E17" s="31" t="s">
        <v>58</v>
      </c>
      <c r="F17" s="26" t="s">
        <v>48</v>
      </c>
      <c r="G17" s="31" t="s">
        <v>49</v>
      </c>
      <c r="H17" s="26" t="s">
        <v>48</v>
      </c>
      <c r="I17" s="31" t="s">
        <v>49</v>
      </c>
      <c r="J17" s="26" t="s">
        <v>48</v>
      </c>
      <c r="K17" s="69" t="s">
        <v>49</v>
      </c>
    </row>
    <row r="18" spans="1:24" ht="24.75" customHeight="1">
      <c r="A18" s="53">
        <v>1</v>
      </c>
      <c r="B18" s="23" t="s">
        <v>52</v>
      </c>
      <c r="C18" s="19">
        <v>2</v>
      </c>
      <c r="D18" s="20">
        <v>2000</v>
      </c>
      <c r="E18" s="20">
        <f>C18*D18</f>
        <v>4000</v>
      </c>
      <c r="F18" s="19">
        <f>C18*23</f>
        <v>46</v>
      </c>
      <c r="G18" s="20">
        <f>F18*D18</f>
        <v>92000</v>
      </c>
      <c r="H18" s="24">
        <f>C18*99</f>
        <v>198</v>
      </c>
      <c r="I18" s="21">
        <f>H18*D18</f>
        <v>396000</v>
      </c>
      <c r="J18" s="19">
        <f>100*C18</f>
        <v>200</v>
      </c>
      <c r="K18" s="70">
        <f>J18*D18</f>
        <v>400000</v>
      </c>
    </row>
    <row r="19" spans="1:24" ht="24.75" customHeight="1">
      <c r="A19" s="53">
        <v>2</v>
      </c>
      <c r="B19" s="23" t="s">
        <v>53</v>
      </c>
      <c r="C19" s="19">
        <v>2</v>
      </c>
      <c r="D19" s="20">
        <v>10000</v>
      </c>
      <c r="E19" s="20">
        <f t="shared" ref="E19:E20" si="4">C19*D19</f>
        <v>20000</v>
      </c>
      <c r="F19" s="19">
        <f t="shared" ref="F19:F20" si="5">C19*23</f>
        <v>46</v>
      </c>
      <c r="G19" s="20">
        <f t="shared" ref="G19" si="6">F19*D19</f>
        <v>460000</v>
      </c>
      <c r="H19" s="24">
        <f t="shared" ref="H19:H20" si="7">C19*99</f>
        <v>198</v>
      </c>
      <c r="I19" s="21">
        <f t="shared" ref="I19:I20" si="8">H19*D19</f>
        <v>1980000</v>
      </c>
      <c r="J19" s="19">
        <f t="shared" ref="J19:J20" si="9">100*C19</f>
        <v>200</v>
      </c>
      <c r="K19" s="70">
        <f t="shared" ref="K19:K20" si="10">J19*D19</f>
        <v>2000000</v>
      </c>
    </row>
    <row r="20" spans="1:24" ht="39.75" customHeight="1">
      <c r="A20" s="53">
        <v>3</v>
      </c>
      <c r="B20" s="23" t="s">
        <v>54</v>
      </c>
      <c r="C20" s="19">
        <v>10</v>
      </c>
      <c r="D20" s="20">
        <v>15000</v>
      </c>
      <c r="E20" s="20">
        <f t="shared" si="4"/>
        <v>150000</v>
      </c>
      <c r="F20" s="19">
        <f t="shared" si="5"/>
        <v>230</v>
      </c>
      <c r="G20" s="20">
        <f>F20*D20</f>
        <v>3450000</v>
      </c>
      <c r="H20" s="24">
        <f t="shared" si="7"/>
        <v>990</v>
      </c>
      <c r="I20" s="21">
        <f t="shared" si="8"/>
        <v>14850000</v>
      </c>
      <c r="J20" s="19">
        <f t="shared" si="9"/>
        <v>1000</v>
      </c>
      <c r="K20" s="70">
        <f t="shared" si="10"/>
        <v>15000000</v>
      </c>
    </row>
    <row r="21" spans="1:24" ht="24.75" customHeight="1" thickBot="1">
      <c r="A21" s="64"/>
      <c r="B21" s="133" t="s">
        <v>61</v>
      </c>
      <c r="C21" s="133"/>
      <c r="D21" s="133"/>
      <c r="E21" s="58">
        <f>SUM(E18:E20)</f>
        <v>174000</v>
      </c>
      <c r="F21" s="74">
        <f>SUM(F18:F20)</f>
        <v>322</v>
      </c>
      <c r="G21" s="58">
        <f>SUM(G18:G20)</f>
        <v>4002000</v>
      </c>
      <c r="H21" s="74">
        <f>SUM(H18:H20)</f>
        <v>1386</v>
      </c>
      <c r="I21" s="58">
        <f t="shared" ref="I21:K21" si="11">SUM(I18:I20)</f>
        <v>17226000</v>
      </c>
      <c r="J21" s="74">
        <f t="shared" si="11"/>
        <v>1400</v>
      </c>
      <c r="K21" s="59">
        <f t="shared" si="11"/>
        <v>17400000</v>
      </c>
    </row>
    <row r="22" spans="1:24" ht="24.75" customHeight="1" thickBot="1">
      <c r="A22" s="16"/>
      <c r="B22" s="29"/>
      <c r="C22" s="16"/>
      <c r="D22" s="22"/>
      <c r="E22" s="16"/>
      <c r="F22" s="16"/>
      <c r="G22" s="22"/>
      <c r="H22" s="22"/>
    </row>
    <row r="23" spans="1:24" ht="24.75" customHeight="1">
      <c r="A23" s="123" t="s">
        <v>92</v>
      </c>
      <c r="B23" s="124"/>
      <c r="C23" s="124"/>
      <c r="D23" s="124"/>
      <c r="E23" s="124"/>
      <c r="F23" s="125"/>
    </row>
    <row r="24" spans="1:24" s="17" customFormat="1" ht="24.75" customHeight="1">
      <c r="A24" s="51" t="s">
        <v>38</v>
      </c>
      <c r="B24" s="26" t="s">
        <v>73</v>
      </c>
      <c r="C24" s="49" t="s">
        <v>75</v>
      </c>
      <c r="D24" s="18" t="s">
        <v>76</v>
      </c>
      <c r="E24" s="49" t="s">
        <v>77</v>
      </c>
      <c r="F24" s="52"/>
      <c r="G24" s="25"/>
      <c r="H24" s="25"/>
      <c r="I24" s="14"/>
      <c r="J24" s="14"/>
      <c r="K24" s="14"/>
      <c r="L24" s="14"/>
      <c r="M24" s="14"/>
      <c r="N24" s="14"/>
      <c r="O24" s="14"/>
      <c r="P24" s="14"/>
      <c r="Q24" s="14"/>
      <c r="R24" s="14"/>
      <c r="S24" s="14"/>
      <c r="T24" s="14"/>
      <c r="U24" s="14"/>
      <c r="V24" s="14"/>
      <c r="W24" s="14"/>
      <c r="X24" s="14"/>
    </row>
    <row r="25" spans="1:24" ht="63.75" customHeight="1">
      <c r="A25" s="53">
        <v>1</v>
      </c>
      <c r="B25" s="23" t="s">
        <v>78</v>
      </c>
      <c r="C25" s="19">
        <v>100</v>
      </c>
      <c r="D25" s="20">
        <v>600</v>
      </c>
      <c r="E25" s="21">
        <f>D25*C25</f>
        <v>60000</v>
      </c>
      <c r="F25" s="54"/>
    </row>
    <row r="26" spans="1:24" ht="24.75" customHeight="1">
      <c r="A26" s="53">
        <v>2</v>
      </c>
      <c r="B26" s="23" t="s">
        <v>79</v>
      </c>
      <c r="C26" s="19">
        <v>100</v>
      </c>
      <c r="D26" s="20">
        <v>1300</v>
      </c>
      <c r="E26" s="21">
        <f t="shared" ref="E26:E27" si="12">D26*C26</f>
        <v>130000</v>
      </c>
      <c r="F26" s="54"/>
    </row>
    <row r="27" spans="1:24" ht="24.75" customHeight="1">
      <c r="A27" s="53">
        <v>3</v>
      </c>
      <c r="B27" s="23" t="s">
        <v>80</v>
      </c>
      <c r="C27" s="19">
        <v>2</v>
      </c>
      <c r="D27" s="20">
        <v>2000</v>
      </c>
      <c r="E27" s="21">
        <f t="shared" si="12"/>
        <v>4000</v>
      </c>
      <c r="F27" s="54"/>
    </row>
    <row r="28" spans="1:24" ht="24.75" customHeight="1">
      <c r="A28" s="53">
        <v>4</v>
      </c>
      <c r="B28" s="23" t="s">
        <v>81</v>
      </c>
      <c r="C28" s="19" t="s">
        <v>82</v>
      </c>
      <c r="D28" s="20">
        <v>2000</v>
      </c>
      <c r="E28" s="21">
        <f>D28</f>
        <v>2000</v>
      </c>
      <c r="F28" s="54"/>
    </row>
    <row r="29" spans="1:24" s="17" customFormat="1" ht="24.75" customHeight="1" thickBot="1">
      <c r="A29" s="55"/>
      <c r="B29" s="56" t="s">
        <v>61</v>
      </c>
      <c r="C29" s="57">
        <f>SUM(C25:C28)</f>
        <v>202</v>
      </c>
      <c r="D29" s="58">
        <f>SUM(D25:D28)</f>
        <v>5900</v>
      </c>
      <c r="E29" s="58">
        <f t="shared" ref="E29:F29" si="13">SUM(E25:E28)</f>
        <v>196000</v>
      </c>
      <c r="F29" s="59">
        <f t="shared" si="13"/>
        <v>0</v>
      </c>
      <c r="G29" s="25"/>
      <c r="H29" s="25"/>
      <c r="I29" s="14"/>
      <c r="J29" s="14"/>
      <c r="K29" s="14"/>
      <c r="L29" s="14"/>
      <c r="M29" s="14"/>
      <c r="N29" s="14"/>
      <c r="O29" s="14"/>
      <c r="P29" s="14"/>
      <c r="Q29" s="14"/>
      <c r="R29" s="14"/>
      <c r="S29" s="14"/>
      <c r="T29" s="14"/>
      <c r="U29" s="14"/>
      <c r="V29" s="14"/>
      <c r="W29" s="14"/>
      <c r="X29" s="14"/>
    </row>
    <row r="30" spans="1:24" ht="24.75" customHeight="1" thickBot="1">
      <c r="A30" s="60"/>
      <c r="B30" s="48"/>
      <c r="C30" s="60"/>
      <c r="D30" s="61"/>
      <c r="E30" s="60"/>
      <c r="F30" s="60"/>
    </row>
    <row r="31" spans="1:24" ht="24.75" customHeight="1" thickBot="1">
      <c r="A31" s="130" t="s">
        <v>83</v>
      </c>
      <c r="B31" s="131"/>
      <c r="C31" s="131"/>
      <c r="D31" s="131"/>
      <c r="E31" s="131"/>
      <c r="F31" s="131"/>
      <c r="G31" s="131"/>
      <c r="H31" s="132"/>
    </row>
    <row r="32" spans="1:24" ht="62.25" customHeight="1">
      <c r="A32" s="85" t="s">
        <v>45</v>
      </c>
      <c r="B32" s="86" t="s">
        <v>84</v>
      </c>
      <c r="C32" s="86" t="s">
        <v>74</v>
      </c>
      <c r="D32" s="86" t="s">
        <v>85</v>
      </c>
      <c r="E32" s="86" t="s">
        <v>86</v>
      </c>
      <c r="F32" s="86" t="s">
        <v>87</v>
      </c>
      <c r="G32" s="73" t="s">
        <v>88</v>
      </c>
      <c r="H32" s="63" t="s">
        <v>90</v>
      </c>
      <c r="I32" s="63" t="s">
        <v>91</v>
      </c>
    </row>
    <row r="33" spans="1:24" ht="60.75" customHeight="1">
      <c r="A33" s="84" t="s">
        <v>83</v>
      </c>
      <c r="B33" s="23" t="s">
        <v>145</v>
      </c>
      <c r="C33" s="19">
        <v>1403</v>
      </c>
      <c r="D33" s="20">
        <v>1000</v>
      </c>
      <c r="E33" s="20">
        <v>300</v>
      </c>
      <c r="F33" s="20">
        <v>1000</v>
      </c>
      <c r="G33" s="20">
        <f>(D33*C33)+(E33*C33)+(2*F33)</f>
        <v>1825900</v>
      </c>
      <c r="H33" s="63">
        <f>G33/2</f>
        <v>912950</v>
      </c>
      <c r="I33" s="63">
        <f>G33/2</f>
        <v>912950</v>
      </c>
    </row>
    <row r="34" spans="1:24" ht="24.75" customHeight="1" thickBot="1">
      <c r="F34" s="16"/>
    </row>
    <row r="35" spans="1:24" ht="24.75" customHeight="1">
      <c r="A35" s="123" t="s">
        <v>101</v>
      </c>
      <c r="B35" s="124"/>
      <c r="C35" s="124"/>
      <c r="D35" s="124"/>
      <c r="E35" s="125"/>
      <c r="F35" s="16"/>
      <c r="G35" s="123" t="s">
        <v>101</v>
      </c>
      <c r="H35" s="124"/>
      <c r="I35" s="124"/>
      <c r="J35" s="124"/>
      <c r="K35" s="125"/>
    </row>
    <row r="36" spans="1:24" ht="36.75" customHeight="1">
      <c r="A36" s="82" t="s">
        <v>93</v>
      </c>
      <c r="B36" s="44" t="s">
        <v>126</v>
      </c>
      <c r="C36" s="44" t="s">
        <v>94</v>
      </c>
      <c r="D36" s="44" t="s">
        <v>95</v>
      </c>
      <c r="E36" s="83" t="s">
        <v>106</v>
      </c>
      <c r="F36" s="76"/>
      <c r="G36" s="82" t="s">
        <v>93</v>
      </c>
      <c r="H36" s="44" t="s">
        <v>126</v>
      </c>
      <c r="I36" s="44" t="s">
        <v>94</v>
      </c>
      <c r="J36" s="44" t="s">
        <v>95</v>
      </c>
      <c r="K36" s="83" t="s">
        <v>107</v>
      </c>
    </row>
    <row r="37" spans="1:24" ht="31.5">
      <c r="A37" s="84">
        <v>1</v>
      </c>
      <c r="B37" s="23" t="s">
        <v>96</v>
      </c>
      <c r="C37" s="23">
        <f>23+55</f>
        <v>78</v>
      </c>
      <c r="D37" s="23" t="s">
        <v>127</v>
      </c>
      <c r="E37" s="88">
        <f>78*1130</f>
        <v>88140</v>
      </c>
      <c r="F37" s="77"/>
      <c r="G37" s="84">
        <v>1</v>
      </c>
      <c r="H37" s="23" t="s">
        <v>96</v>
      </c>
      <c r="I37" s="23">
        <f>23+55</f>
        <v>78</v>
      </c>
      <c r="J37" s="23" t="s">
        <v>127</v>
      </c>
      <c r="K37" s="88">
        <f>78*1130</f>
        <v>88140</v>
      </c>
    </row>
    <row r="38" spans="1:24" ht="31.5">
      <c r="A38" s="84">
        <v>2</v>
      </c>
      <c r="B38" s="23" t="s">
        <v>97</v>
      </c>
      <c r="C38" s="23" t="s">
        <v>98</v>
      </c>
      <c r="D38" s="23" t="s">
        <v>99</v>
      </c>
      <c r="E38" s="88">
        <f>3250+800</f>
        <v>4050</v>
      </c>
      <c r="F38" s="77"/>
      <c r="G38" s="84">
        <v>2</v>
      </c>
      <c r="H38" s="23" t="s">
        <v>97</v>
      </c>
      <c r="I38" s="23" t="s">
        <v>98</v>
      </c>
      <c r="J38" s="23" t="s">
        <v>99</v>
      </c>
      <c r="K38" s="88">
        <f>3250+800</f>
        <v>4050</v>
      </c>
    </row>
    <row r="39" spans="1:24" ht="31.5">
      <c r="A39" s="84">
        <v>3</v>
      </c>
      <c r="B39" s="23" t="s">
        <v>100</v>
      </c>
      <c r="C39" s="23">
        <v>78</v>
      </c>
      <c r="D39" s="23" t="s">
        <v>128</v>
      </c>
      <c r="E39" s="88">
        <f>78*200</f>
        <v>15600</v>
      </c>
      <c r="F39" s="77"/>
      <c r="G39" s="84">
        <v>3</v>
      </c>
      <c r="H39" s="23" t="s">
        <v>100</v>
      </c>
      <c r="I39" s="23">
        <v>78</v>
      </c>
      <c r="J39" s="23" t="s">
        <v>128</v>
      </c>
      <c r="K39" s="88">
        <f>78*200</f>
        <v>15600</v>
      </c>
    </row>
    <row r="40" spans="1:24" s="17" customFormat="1" ht="24.75" customHeight="1" thickBot="1">
      <c r="A40" s="75"/>
      <c r="B40" s="56" t="s">
        <v>34</v>
      </c>
      <c r="C40" s="56">
        <f>SUM(C37:C39)</f>
        <v>156</v>
      </c>
      <c r="D40" s="56"/>
      <c r="E40" s="87">
        <f>SUM(E37:E39)</f>
        <v>107790</v>
      </c>
      <c r="F40" s="14"/>
      <c r="G40" s="75"/>
      <c r="H40" s="56" t="s">
        <v>34</v>
      </c>
      <c r="I40" s="56">
        <f>SUM(I37:I39)</f>
        <v>156</v>
      </c>
      <c r="J40" s="56"/>
      <c r="K40" s="87">
        <f>SUM(K37:K39)</f>
        <v>107790</v>
      </c>
      <c r="L40" s="14"/>
      <c r="M40" s="14"/>
      <c r="N40" s="14"/>
      <c r="O40" s="14"/>
      <c r="P40" s="14"/>
      <c r="Q40" s="14"/>
      <c r="R40" s="14"/>
      <c r="S40" s="14"/>
      <c r="T40" s="14"/>
      <c r="U40" s="14"/>
      <c r="V40" s="14"/>
      <c r="W40" s="14"/>
      <c r="X40" s="14"/>
    </row>
    <row r="41" spans="1:24" ht="24.75" customHeight="1">
      <c r="F41" s="16"/>
    </row>
    <row r="42" spans="1:24" ht="24.75" customHeight="1">
      <c r="A42" s="139" t="s">
        <v>109</v>
      </c>
      <c r="B42" s="140"/>
      <c r="C42" s="140"/>
      <c r="D42" s="140"/>
      <c r="E42" s="140"/>
    </row>
    <row r="43" spans="1:24" ht="30.75" customHeight="1">
      <c r="A43" s="67" t="s">
        <v>110</v>
      </c>
      <c r="B43" s="50" t="s">
        <v>111</v>
      </c>
      <c r="C43" s="26" t="s">
        <v>112</v>
      </c>
      <c r="D43" s="94" t="s">
        <v>149</v>
      </c>
      <c r="E43" s="94" t="s">
        <v>150</v>
      </c>
      <c r="G43" s="115" t="s">
        <v>131</v>
      </c>
      <c r="H43" s="115"/>
      <c r="I43" s="115"/>
      <c r="J43" s="115"/>
      <c r="K43" s="115"/>
    </row>
    <row r="44" spans="1:24" ht="43.5" customHeight="1">
      <c r="A44" s="84">
        <v>1</v>
      </c>
      <c r="B44" s="23" t="s">
        <v>122</v>
      </c>
      <c r="C44" s="19">
        <v>8</v>
      </c>
      <c r="D44" s="63">
        <f>8*2</f>
        <v>16</v>
      </c>
      <c r="E44" s="63">
        <f>8*2</f>
        <v>16</v>
      </c>
      <c r="G44" s="18" t="s">
        <v>132</v>
      </c>
      <c r="H44" s="18" t="s">
        <v>45</v>
      </c>
      <c r="I44" s="91" t="s">
        <v>133</v>
      </c>
      <c r="J44" s="90" t="s">
        <v>134</v>
      </c>
      <c r="K44" s="31" t="s">
        <v>135</v>
      </c>
      <c r="L44" s="15"/>
      <c r="N44" s="29"/>
    </row>
    <row r="45" spans="1:24" ht="42.75" customHeight="1">
      <c r="A45" s="84">
        <v>2</v>
      </c>
      <c r="B45" s="23" t="s">
        <v>108</v>
      </c>
      <c r="C45" s="19">
        <v>1.5</v>
      </c>
      <c r="D45" s="63">
        <f>1.5*23</f>
        <v>34.5</v>
      </c>
      <c r="E45" s="63">
        <f>1.5*23</f>
        <v>34.5</v>
      </c>
      <c r="G45" s="24" t="s">
        <v>137</v>
      </c>
      <c r="H45" s="92" t="s">
        <v>136</v>
      </c>
      <c r="I45" s="20">
        <v>20</v>
      </c>
      <c r="J45" s="20">
        <f>20*8</f>
        <v>160</v>
      </c>
      <c r="K45" s="20">
        <f>20*8</f>
        <v>160</v>
      </c>
    </row>
    <row r="46" spans="1:24" ht="55.5" customHeight="1">
      <c r="A46" s="84">
        <v>3</v>
      </c>
      <c r="B46" s="23" t="s">
        <v>123</v>
      </c>
      <c r="C46" s="19">
        <v>15</v>
      </c>
      <c r="D46" s="63">
        <f>15*2</f>
        <v>30</v>
      </c>
      <c r="E46" s="63">
        <f>15*2</f>
        <v>30</v>
      </c>
      <c r="G46" s="134" t="s">
        <v>138</v>
      </c>
      <c r="H46" s="92" t="s">
        <v>139</v>
      </c>
      <c r="I46" s="20">
        <f>(15000*2)+(20000*2)</f>
        <v>70000</v>
      </c>
      <c r="J46" s="20">
        <v>0.7</v>
      </c>
      <c r="K46" s="20">
        <f>J46*2</f>
        <v>1.4</v>
      </c>
    </row>
    <row r="47" spans="1:24" ht="55.5" customHeight="1">
      <c r="A47" s="95">
        <v>4</v>
      </c>
      <c r="B47" s="96" t="s">
        <v>147</v>
      </c>
      <c r="C47" s="97">
        <v>20</v>
      </c>
      <c r="D47" s="98">
        <f>C47*2</f>
        <v>40</v>
      </c>
      <c r="E47" s="98">
        <f>D47*2</f>
        <v>80</v>
      </c>
      <c r="G47" s="135"/>
      <c r="H47" s="92"/>
      <c r="I47" s="20"/>
      <c r="J47" s="20"/>
      <c r="K47" s="20"/>
    </row>
    <row r="48" spans="1:24" ht="24.75" customHeight="1" thickBot="1">
      <c r="A48" s="64"/>
      <c r="B48" s="56" t="s">
        <v>34</v>
      </c>
      <c r="C48" s="65"/>
      <c r="D48" s="66">
        <f>SUM(D44:D47)</f>
        <v>120.5</v>
      </c>
      <c r="E48" s="66">
        <f>SUM(E44:E47)</f>
        <v>160.5</v>
      </c>
      <c r="G48" s="135"/>
      <c r="H48" s="24" t="s">
        <v>140</v>
      </c>
      <c r="I48" s="20">
        <v>12000</v>
      </c>
      <c r="J48" s="20">
        <v>0.12</v>
      </c>
      <c r="K48" s="20">
        <f t="shared" ref="K48:K50" si="14">J48*2</f>
        <v>0.24</v>
      </c>
    </row>
    <row r="49" spans="1:11" ht="24.75" customHeight="1">
      <c r="G49" s="135"/>
      <c r="H49" s="20" t="s">
        <v>141</v>
      </c>
      <c r="I49" s="20">
        <v>6000</v>
      </c>
      <c r="J49" s="20">
        <v>0.06</v>
      </c>
      <c r="K49" s="20">
        <f t="shared" si="14"/>
        <v>0.12</v>
      </c>
    </row>
    <row r="50" spans="1:11" ht="24.75" customHeight="1">
      <c r="G50" s="136"/>
      <c r="H50" s="20" t="s">
        <v>142</v>
      </c>
      <c r="I50" s="20">
        <v>12000</v>
      </c>
      <c r="J50" s="20">
        <v>0.12</v>
      </c>
      <c r="K50" s="20">
        <f t="shared" si="14"/>
        <v>0.24</v>
      </c>
    </row>
    <row r="51" spans="1:11" ht="24.75" customHeight="1">
      <c r="A51" s="126" t="s">
        <v>114</v>
      </c>
      <c r="B51" s="126"/>
      <c r="C51" s="126"/>
      <c r="D51" s="126"/>
      <c r="E51" s="126"/>
      <c r="G51" s="137" t="s">
        <v>34</v>
      </c>
      <c r="H51" s="138"/>
      <c r="I51" s="138"/>
      <c r="J51" s="93">
        <f>SUM(J45:J50)</f>
        <v>161</v>
      </c>
      <c r="K51" s="93">
        <f>SUM(K45:K50)</f>
        <v>162.00000000000003</v>
      </c>
    </row>
    <row r="52" spans="1:11" ht="24.75" customHeight="1">
      <c r="A52" s="50" t="s">
        <v>110</v>
      </c>
      <c r="B52" s="50" t="s">
        <v>111</v>
      </c>
      <c r="C52" s="50" t="s">
        <v>115</v>
      </c>
      <c r="D52" s="50" t="s">
        <v>116</v>
      </c>
      <c r="E52" s="50"/>
    </row>
    <row r="53" spans="1:11" ht="31.5">
      <c r="A53" s="19">
        <v>1</v>
      </c>
      <c r="B53" s="23" t="s">
        <v>117</v>
      </c>
      <c r="C53" s="19">
        <v>5000</v>
      </c>
      <c r="D53" s="20">
        <f>5000*140</f>
        <v>700000</v>
      </c>
      <c r="E53" s="19"/>
    </row>
    <row r="54" spans="1:11" ht="15.75">
      <c r="A54" s="19">
        <v>2</v>
      </c>
      <c r="B54" s="23" t="s">
        <v>118</v>
      </c>
      <c r="C54" s="19" t="s">
        <v>82</v>
      </c>
      <c r="D54" s="20"/>
      <c r="E54" s="19"/>
    </row>
    <row r="55" spans="1:11" ht="15.75">
      <c r="A55" s="19">
        <v>3</v>
      </c>
      <c r="B55" s="23" t="s">
        <v>119</v>
      </c>
      <c r="C55" s="19" t="s">
        <v>82</v>
      </c>
      <c r="D55" s="20"/>
      <c r="E55" s="19"/>
    </row>
    <row r="56" spans="1:11" ht="31.5">
      <c r="A56" s="19">
        <v>4</v>
      </c>
      <c r="B56" s="23" t="s">
        <v>120</v>
      </c>
      <c r="C56" s="19" t="s">
        <v>82</v>
      </c>
      <c r="D56" s="20"/>
      <c r="E56" s="19"/>
    </row>
    <row r="57" spans="1:11" ht="15.75">
      <c r="A57" s="19">
        <v>5</v>
      </c>
      <c r="B57" s="23" t="s">
        <v>121</v>
      </c>
      <c r="C57" s="19">
        <v>1000</v>
      </c>
      <c r="D57" s="20">
        <f>C57*140</f>
        <v>140000</v>
      </c>
      <c r="E57" s="19"/>
    </row>
    <row r="58" spans="1:11" ht="15.75">
      <c r="A58" s="19">
        <v>6</v>
      </c>
      <c r="B58" s="23" t="s">
        <v>124</v>
      </c>
      <c r="C58" s="19">
        <v>3000</v>
      </c>
      <c r="D58" s="20">
        <f>3000*140</f>
        <v>420000</v>
      </c>
      <c r="E58" s="19"/>
    </row>
    <row r="59" spans="1:11" ht="15.75">
      <c r="A59" s="19"/>
      <c r="B59" s="23"/>
      <c r="C59" s="19"/>
      <c r="D59" s="20">
        <f>SUM(D53:D58)</f>
        <v>1260000</v>
      </c>
      <c r="E59" s="19"/>
    </row>
  </sheetData>
  <mergeCells count="20">
    <mergeCell ref="A23:F23"/>
    <mergeCell ref="A51:E51"/>
    <mergeCell ref="A15:K15"/>
    <mergeCell ref="A35:E35"/>
    <mergeCell ref="A31:H31"/>
    <mergeCell ref="G35:K35"/>
    <mergeCell ref="J16:K16"/>
    <mergeCell ref="B21:D21"/>
    <mergeCell ref="G43:K43"/>
    <mergeCell ref="G46:G50"/>
    <mergeCell ref="G51:I51"/>
    <mergeCell ref="A42:E42"/>
    <mergeCell ref="A5:I5"/>
    <mergeCell ref="F16:G16"/>
    <mergeCell ref="H16:I16"/>
    <mergeCell ref="A6:B6"/>
    <mergeCell ref="C6:E6"/>
    <mergeCell ref="F6:G6"/>
    <mergeCell ref="H6:I6"/>
    <mergeCell ref="B13:D13"/>
  </mergeCells>
  <pageMargins left="0.70866141732283472" right="0.70866141732283472" top="0.74803149606299213" bottom="0.74803149606299213" header="0.31496062992125984" footer="0.31496062992125984"/>
  <pageSetup paperSize="5" scale="78" orientation="landscape" verticalDpi="0" r:id="rId1"/>
  <rowBreaks count="2" manualBreakCount="2">
    <brk id="22" max="10" man="1"/>
    <brk id="41" max="10" man="1"/>
  </rowBreaks>
</worksheet>
</file>

<file path=xl/worksheets/sheet4.xml><?xml version="1.0" encoding="utf-8"?>
<worksheet xmlns="http://schemas.openxmlformats.org/spreadsheetml/2006/main" xmlns:r="http://schemas.openxmlformats.org/officeDocument/2006/relationships">
  <dimension ref="A1:AA8"/>
  <sheetViews>
    <sheetView topLeftCell="G1" zoomScale="70" zoomScaleNormal="70" workbookViewId="0">
      <selection activeCell="S8" sqref="S8"/>
    </sheetView>
  </sheetViews>
  <sheetFormatPr defaultRowHeight="15"/>
  <cols>
    <col min="1" max="1" width="10.140625" style="12" bestFit="1" customWidth="1"/>
    <col min="2" max="2" width="11.28515625" style="12" customWidth="1"/>
    <col min="3" max="3" width="5.85546875" style="12" bestFit="1" customWidth="1"/>
    <col min="4" max="4" width="16.5703125" style="12" bestFit="1" customWidth="1"/>
    <col min="5" max="5" width="5" style="12" bestFit="1" customWidth="1"/>
    <col min="6" max="6" width="13.140625" style="12" bestFit="1" customWidth="1"/>
    <col min="7" max="7" width="10.7109375" style="12" bestFit="1" customWidth="1"/>
    <col min="8" max="8" width="19.42578125" style="12" customWidth="1"/>
    <col min="9" max="9" width="28.42578125" style="12" bestFit="1" customWidth="1"/>
    <col min="10" max="10" width="22" style="12" customWidth="1"/>
    <col min="11" max="11" width="5.7109375" style="12" bestFit="1" customWidth="1"/>
    <col min="12" max="12" width="20" style="12" customWidth="1"/>
    <col min="13" max="13" width="16" style="12" customWidth="1"/>
    <col min="14" max="14" width="11.140625" style="12" customWidth="1"/>
    <col min="15" max="15" width="20.28515625" style="12" customWidth="1"/>
    <col min="16" max="16" width="13.28515625" style="12" bestFit="1" customWidth="1"/>
    <col min="17" max="17" width="15.85546875" style="12" bestFit="1" customWidth="1"/>
    <col min="18" max="18" width="23.85546875" style="12" customWidth="1"/>
    <col min="19" max="20" width="14.7109375" style="12" customWidth="1"/>
    <col min="21" max="21" width="20" style="12" bestFit="1" customWidth="1"/>
    <col min="22" max="22" width="13.7109375" style="12" bestFit="1" customWidth="1"/>
    <col min="23" max="23" width="10.7109375" style="12" bestFit="1" customWidth="1"/>
    <col min="24" max="24" width="45.85546875" style="12" bestFit="1" customWidth="1"/>
    <col min="25" max="25" width="9.42578125" style="12" bestFit="1" customWidth="1"/>
    <col min="26" max="26" width="34.140625" style="12" bestFit="1" customWidth="1"/>
    <col min="27" max="27" width="25.85546875" style="12" bestFit="1" customWidth="1"/>
    <col min="28" max="16384" width="9.140625" style="12"/>
  </cols>
  <sheetData>
    <row r="1" spans="1:27" s="5" customFormat="1" ht="29.25" customHeight="1">
      <c r="A1" s="102" t="s">
        <v>7</v>
      </c>
      <c r="B1" s="102" t="s">
        <v>8</v>
      </c>
      <c r="C1" s="102" t="s">
        <v>9</v>
      </c>
      <c r="D1" s="102" t="s">
        <v>10</v>
      </c>
      <c r="E1" s="102" t="s">
        <v>11</v>
      </c>
      <c r="F1" s="107" t="s">
        <v>12</v>
      </c>
      <c r="G1" s="108"/>
      <c r="H1" s="102" t="s">
        <v>13</v>
      </c>
      <c r="I1" s="102" t="s">
        <v>14</v>
      </c>
      <c r="J1" s="103"/>
      <c r="K1" s="103"/>
      <c r="L1" s="102" t="s">
        <v>15</v>
      </c>
      <c r="M1" s="102" t="s">
        <v>16</v>
      </c>
      <c r="N1" s="102" t="s">
        <v>17</v>
      </c>
      <c r="O1" s="102" t="s">
        <v>18</v>
      </c>
      <c r="P1" s="102" t="s">
        <v>19</v>
      </c>
      <c r="Q1" s="102" t="s">
        <v>20</v>
      </c>
      <c r="R1" s="102" t="s">
        <v>21</v>
      </c>
      <c r="S1" s="104" t="s">
        <v>22</v>
      </c>
      <c r="T1" s="100" t="s">
        <v>23</v>
      </c>
      <c r="U1" s="104" t="s">
        <v>36</v>
      </c>
      <c r="V1" s="102" t="s">
        <v>24</v>
      </c>
      <c r="W1" s="104" t="s">
        <v>25</v>
      </c>
      <c r="X1" s="104" t="s">
        <v>26</v>
      </c>
      <c r="Y1" s="104" t="s">
        <v>27</v>
      </c>
      <c r="Z1" s="100" t="s">
        <v>28</v>
      </c>
      <c r="AA1" s="102" t="s">
        <v>29</v>
      </c>
    </row>
    <row r="2" spans="1:27" s="5" customFormat="1" ht="42.75" customHeight="1">
      <c r="A2" s="103"/>
      <c r="B2" s="103"/>
      <c r="C2" s="103"/>
      <c r="D2" s="103"/>
      <c r="E2" s="103"/>
      <c r="F2" s="99" t="s">
        <v>30</v>
      </c>
      <c r="G2" s="99" t="s">
        <v>31</v>
      </c>
      <c r="H2" s="103"/>
      <c r="I2" s="99" t="s">
        <v>32</v>
      </c>
      <c r="J2" s="99" t="s">
        <v>33</v>
      </c>
      <c r="K2" s="99" t="s">
        <v>34</v>
      </c>
      <c r="L2" s="103"/>
      <c r="M2" s="103"/>
      <c r="N2" s="103"/>
      <c r="O2" s="103"/>
      <c r="P2" s="103"/>
      <c r="Q2" s="103"/>
      <c r="R2" s="103"/>
      <c r="S2" s="105"/>
      <c r="T2" s="101" t="s">
        <v>35</v>
      </c>
      <c r="U2" s="105"/>
      <c r="V2" s="102"/>
      <c r="W2" s="105"/>
      <c r="X2" s="105"/>
      <c r="Y2" s="105"/>
      <c r="Z2" s="101" t="s">
        <v>37</v>
      </c>
      <c r="AA2" s="103"/>
    </row>
    <row r="3" spans="1:27" s="5" customFormat="1" ht="30">
      <c r="A3" s="106" t="s">
        <v>0</v>
      </c>
      <c r="B3" s="106" t="s">
        <v>1</v>
      </c>
      <c r="C3" s="1">
        <v>99</v>
      </c>
      <c r="D3" s="6" t="s">
        <v>2</v>
      </c>
      <c r="E3" s="7"/>
      <c r="F3" s="7"/>
      <c r="G3" s="7"/>
      <c r="H3" s="7"/>
      <c r="I3" s="7"/>
      <c r="J3" s="7">
        <v>34.5</v>
      </c>
      <c r="K3" s="7"/>
      <c r="L3" s="7">
        <v>69</v>
      </c>
      <c r="M3" s="7">
        <v>9.1300000000000008</v>
      </c>
      <c r="N3" s="7"/>
      <c r="O3" s="7">
        <v>17.28</v>
      </c>
      <c r="P3" s="7">
        <v>92</v>
      </c>
      <c r="Q3" s="7">
        <v>2.16</v>
      </c>
      <c r="R3" s="7"/>
      <c r="S3" s="7">
        <f>SUM(H3:R3)</f>
        <v>224.07</v>
      </c>
      <c r="T3" s="7"/>
      <c r="U3" s="7"/>
      <c r="V3" s="7"/>
      <c r="W3" s="8"/>
      <c r="X3" s="8"/>
      <c r="Y3" s="8"/>
      <c r="Z3" s="8"/>
      <c r="AA3" s="8"/>
    </row>
    <row r="4" spans="1:27" s="5" customFormat="1" ht="30">
      <c r="A4" s="106"/>
      <c r="B4" s="106"/>
      <c r="C4" s="1">
        <v>100</v>
      </c>
      <c r="D4" s="6" t="s">
        <v>3</v>
      </c>
      <c r="E4" s="7"/>
      <c r="F4" s="7"/>
      <c r="G4" s="7"/>
      <c r="H4" s="7">
        <v>1.74</v>
      </c>
      <c r="I4" s="7"/>
      <c r="J4" s="7">
        <v>99.5</v>
      </c>
      <c r="K4" s="7"/>
      <c r="L4" s="7"/>
      <c r="M4" s="7">
        <v>10.35</v>
      </c>
      <c r="N4" s="7"/>
      <c r="O4" s="7"/>
      <c r="P4" s="7">
        <v>160.5</v>
      </c>
      <c r="Q4" s="7"/>
      <c r="R4" s="7"/>
      <c r="S4" s="7">
        <f t="shared" ref="S4:S7" si="0">SUM(H4:R4)</f>
        <v>272.08999999999997</v>
      </c>
      <c r="T4" s="7"/>
      <c r="U4" s="7"/>
      <c r="V4" s="7"/>
      <c r="W4" s="8"/>
      <c r="X4" s="8"/>
      <c r="Y4" s="8"/>
      <c r="Z4" s="8"/>
      <c r="AA4" s="8"/>
    </row>
    <row r="5" spans="1:27" s="5" customFormat="1" ht="30">
      <c r="A5" s="106"/>
      <c r="B5" s="106"/>
      <c r="C5" s="1">
        <v>101</v>
      </c>
      <c r="D5" s="1" t="s">
        <v>4</v>
      </c>
      <c r="E5" s="7"/>
      <c r="F5" s="7"/>
      <c r="G5" s="7"/>
      <c r="H5" s="7"/>
      <c r="I5" s="7"/>
      <c r="J5" s="7"/>
      <c r="K5" s="7"/>
      <c r="L5" s="7"/>
      <c r="M5" s="7"/>
      <c r="N5" s="7"/>
      <c r="O5" s="7"/>
      <c r="P5" s="7"/>
      <c r="Q5" s="7"/>
      <c r="R5" s="7"/>
      <c r="S5" s="7">
        <f t="shared" si="0"/>
        <v>0</v>
      </c>
      <c r="T5" s="7"/>
      <c r="U5" s="7"/>
      <c r="V5" s="7"/>
      <c r="W5" s="8"/>
      <c r="X5" s="8"/>
      <c r="Y5" s="8"/>
      <c r="Z5" s="8"/>
      <c r="AA5" s="8"/>
    </row>
    <row r="6" spans="1:27" s="11" customFormat="1" ht="45">
      <c r="A6" s="106"/>
      <c r="B6" s="106"/>
      <c r="C6" s="1">
        <v>102</v>
      </c>
      <c r="D6" s="1" t="s">
        <v>5</v>
      </c>
      <c r="E6" s="9"/>
      <c r="F6" s="9"/>
      <c r="G6" s="9"/>
      <c r="H6" s="9"/>
      <c r="I6" s="9"/>
      <c r="J6" s="9"/>
      <c r="K6" s="9"/>
      <c r="L6" s="9"/>
      <c r="M6" s="9"/>
      <c r="N6" s="9"/>
      <c r="O6" s="9"/>
      <c r="P6" s="9"/>
      <c r="Q6" s="9"/>
      <c r="R6" s="9">
        <v>12.6</v>
      </c>
      <c r="S6" s="7">
        <f t="shared" si="0"/>
        <v>12.6</v>
      </c>
      <c r="T6" s="7"/>
      <c r="U6" s="7"/>
      <c r="V6" s="9"/>
      <c r="W6" s="10"/>
      <c r="X6" s="10"/>
      <c r="Y6" s="10"/>
      <c r="Z6" s="10"/>
      <c r="AA6" s="10"/>
    </row>
    <row r="7" spans="1:27" s="5" customFormat="1" ht="45">
      <c r="A7" s="106"/>
      <c r="B7" s="106"/>
      <c r="C7" s="1">
        <v>103</v>
      </c>
      <c r="D7" s="1" t="s">
        <v>6</v>
      </c>
      <c r="E7" s="7"/>
      <c r="F7" s="7"/>
      <c r="G7" s="7"/>
      <c r="H7" s="7"/>
      <c r="I7" s="7"/>
      <c r="J7" s="7"/>
      <c r="K7" s="7"/>
      <c r="L7" s="7"/>
      <c r="M7" s="7"/>
      <c r="N7" s="7"/>
      <c r="O7" s="7"/>
      <c r="P7" s="7"/>
      <c r="Q7" s="7"/>
      <c r="R7" s="7">
        <v>162</v>
      </c>
      <c r="S7" s="7">
        <f t="shared" si="0"/>
        <v>162</v>
      </c>
      <c r="T7" s="7"/>
      <c r="U7" s="7"/>
      <c r="V7" s="7"/>
      <c r="W7" s="8"/>
      <c r="X7" s="8"/>
      <c r="Y7" s="8"/>
      <c r="Z7" s="8"/>
      <c r="AA7" s="8"/>
    </row>
    <row r="8" spans="1:27" ht="38.25" customHeight="1">
      <c r="A8" s="141"/>
      <c r="B8" s="141"/>
      <c r="C8" s="141"/>
      <c r="D8" s="141"/>
      <c r="E8" s="141"/>
      <c r="F8" s="141"/>
      <c r="G8" s="141"/>
      <c r="H8" s="141"/>
      <c r="I8" s="141"/>
      <c r="J8" s="141"/>
      <c r="K8" s="141"/>
      <c r="L8" s="141"/>
      <c r="M8" s="141"/>
      <c r="N8" s="141"/>
      <c r="O8" s="141"/>
      <c r="P8" s="141"/>
      <c r="Q8" s="141"/>
      <c r="R8" s="141"/>
      <c r="S8" s="142">
        <f>S3+S4+S5+S6+S7</f>
        <v>670.76</v>
      </c>
      <c r="T8" s="141"/>
    </row>
  </sheetData>
  <mergeCells count="24">
    <mergeCell ref="W1:W2"/>
    <mergeCell ref="X1:X2"/>
    <mergeCell ref="Y1:Y2"/>
    <mergeCell ref="AA1:AA2"/>
    <mergeCell ref="A3:A7"/>
    <mergeCell ref="B3:B7"/>
    <mergeCell ref="P1:P2"/>
    <mergeCell ref="Q1:Q2"/>
    <mergeCell ref="R1:R2"/>
    <mergeCell ref="S1:S2"/>
    <mergeCell ref="U1:U2"/>
    <mergeCell ref="V1:V2"/>
    <mergeCell ref="H1:H2"/>
    <mergeCell ref="I1:K1"/>
    <mergeCell ref="L1:L2"/>
    <mergeCell ref="M1:M2"/>
    <mergeCell ref="N1:N2"/>
    <mergeCell ref="O1:O2"/>
    <mergeCell ref="A1:A2"/>
    <mergeCell ref="B1:B2"/>
    <mergeCell ref="C1:C2"/>
    <mergeCell ref="D1:D2"/>
    <mergeCell ref="E1:E2"/>
    <mergeCell ref="F1:G1"/>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PIP 2024-25</vt:lpstr>
      <vt:lpstr>Justification</vt:lpstr>
      <vt:lpstr>Calculation</vt:lpstr>
      <vt:lpstr>PIP 2025-26</vt:lpstr>
      <vt:lpstr>Calculation!Print_Area</vt:lpstr>
      <vt:lpstr>Justification!Print_Area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cp:lastPrinted>2023-10-19T03:41:46Z</cp:lastPrinted>
  <dcterms:created xsi:type="dcterms:W3CDTF">2023-08-18T05:49:45Z</dcterms:created>
  <dcterms:modified xsi:type="dcterms:W3CDTF">2023-10-19T06:03:32Z</dcterms:modified>
</cp:coreProperties>
</file>